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mc:AlternateContent xmlns:mc="http://schemas.openxmlformats.org/markup-compatibility/2006">
    <mc:Choice Requires="x15">
      <x15ac:absPath xmlns:x15ac="http://schemas.microsoft.com/office/spreadsheetml/2010/11/ac" url="C:\Users\Sergejs\Desktop\Новая папка\"/>
    </mc:Choice>
  </mc:AlternateContent>
  <bookViews>
    <workbookView xWindow="-105" yWindow="-150" windowWidth="7860" windowHeight="4380"/>
  </bookViews>
  <sheets>
    <sheet name="Inform.ievad." sheetId="11" r:id="rId1"/>
    <sheet name="PZA" sheetId="7" r:id="rId2"/>
    <sheet name="Aktīvs" sheetId="1" r:id="rId3"/>
    <sheet name="Pasīvs" sheetId="2" r:id="rId4"/>
    <sheet name="Analīze" sheetId="6" r:id="rId5"/>
    <sheet name="C0_7.4." sheetId="12" state="hidden" r:id="rId6"/>
    <sheet name="Kopsavilkums" sheetId="5" r:id="rId7"/>
    <sheet name="Skaidrojumi" sheetId="8" r:id="rId8"/>
  </sheets>
  <definedNames>
    <definedName name="_xlnm._FilterDatabase" localSheetId="0" hidden="1">Inform.ievad.!$B$7:$C$8</definedName>
    <definedName name="C_0_5.1.Būtiskums">#REF!</definedName>
    <definedName name="C_0_7.2.Akt">Aktīvs!#REF!</definedName>
    <definedName name="C_0_7.2.Pas">Pasīvs!$C$4</definedName>
    <definedName name="C_0_7.3.koef">Analīze!$A$4</definedName>
    <definedName name="C_0_7.4.">'C0_7.4.'!$F$3</definedName>
    <definedName name="C_0_7.5">#REF!</definedName>
    <definedName name="C_0_7.5.Izm">#REF!</definedName>
    <definedName name="D_1_11.">#REF!</definedName>
    <definedName name="D_1_12.">#REF!</definedName>
    <definedName name="E_1_13.">#REF!</definedName>
    <definedName name="F_1_21.">#REF!</definedName>
    <definedName name="G_1_23.">#REF!</definedName>
    <definedName name="H_1_26.">#REF!</definedName>
    <definedName name="Informācijas_ievadīšana">Inform.ievad.!$B$2</definedName>
    <definedName name="J_1_3.">#REF!</definedName>
    <definedName name="K_1_4.">#REF!</definedName>
    <definedName name="L_1_51.">#REF!</definedName>
    <definedName name="M_1_53.">#REF!</definedName>
    <definedName name="N__O__P__Q__S_1_5...">#REF!</definedName>
    <definedName name="O4_2.">Kopsavilkums!$A$4</definedName>
    <definedName name="O4_2.1.">#REF!</definedName>
    <definedName name="R_1_59">#REF!</definedName>
    <definedName name="Saturs">#REF!</definedName>
    <definedName name="_xlnm.Print_Titles" localSheetId="2">Aktīvs!$2:$8</definedName>
    <definedName name="_xlnm.Print_Titles" localSheetId="4">Analīze!$2:$5</definedName>
    <definedName name="_xlnm.Print_Titles" localSheetId="5">'C0_7.4.'!$1:$7</definedName>
    <definedName name="_xlnm.Print_Titles" localSheetId="6">Kopsavilkums!$2:$5</definedName>
    <definedName name="_xlnm.Print_Titles" localSheetId="3">Pasīvs!$2:$8</definedName>
    <definedName name="_xlnm.Print_Titles" localSheetId="1">PZA!$2:$7</definedName>
    <definedName name="_xlnm.Print_Titles" localSheetId="7">Skaidrojumi!$1:$1</definedName>
    <definedName name="_xlnm.Print_Area" localSheetId="2">Aktīvs!$A$2:$K$71</definedName>
    <definedName name="_xlnm.Print_Area" localSheetId="4">Analīze!$A$2:$K$50</definedName>
    <definedName name="_xlnm.Print_Area" localSheetId="0">Inform.ievad.!$B$1:$C$15</definedName>
    <definedName name="_xlnm.Print_Area" localSheetId="6">Kopsavilkums!$A$2:$J$38</definedName>
    <definedName name="_xlnm.Print_Area" localSheetId="3">Pasīvs!$A$2:$K$67</definedName>
    <definedName name="_xlnm.Print_Area" localSheetId="1">PZA!$A$2:$H$30</definedName>
    <definedName name="_xlnm.Print_Area" localSheetId="7">Skaidrojumi!$A$1:$B$55</definedName>
  </definedNames>
  <calcPr calcId="152511" fullPrecision="0"/>
</workbook>
</file>

<file path=xl/calcChain.xml><?xml version="1.0" encoding="utf-8"?>
<calcChain xmlns="http://schemas.openxmlformats.org/spreadsheetml/2006/main">
  <c r="F10" i="7" l="1"/>
  <c r="C41" i="6" s="1"/>
  <c r="F16" i="1"/>
  <c r="F25" i="1"/>
  <c r="G25" i="1" s="1"/>
  <c r="F27" i="1"/>
  <c r="F29" i="1"/>
  <c r="F39" i="1"/>
  <c r="F49" i="1"/>
  <c r="F51" i="1"/>
  <c r="F61" i="1"/>
  <c r="F20" i="7"/>
  <c r="F23" i="7" s="1"/>
  <c r="F26" i="7"/>
  <c r="F22" i="2" s="1"/>
  <c r="F45" i="2"/>
  <c r="F63" i="2" s="1"/>
  <c r="G63" i="2" s="1"/>
  <c r="F28" i="2"/>
  <c r="F19" i="2"/>
  <c r="F67" i="1"/>
  <c r="H67" i="1" s="1"/>
  <c r="C6" i="6"/>
  <c r="B6" i="6"/>
  <c r="C6" i="5"/>
  <c r="C12" i="5" s="1"/>
  <c r="C17" i="5" s="1"/>
  <c r="C22" i="5" s="1"/>
  <c r="C32" i="5" s="1"/>
  <c r="B6" i="5"/>
  <c r="B12" i="5" s="1"/>
  <c r="B17" i="5" s="1"/>
  <c r="B22" i="5" s="1"/>
  <c r="B32" i="5" s="1"/>
  <c r="F6" i="2"/>
  <c r="E6" i="2"/>
  <c r="E61" i="1"/>
  <c r="G61" i="1" s="1"/>
  <c r="G59" i="1"/>
  <c r="C29" i="6"/>
  <c r="E62" i="2"/>
  <c r="F62" i="2"/>
  <c r="G62" i="2"/>
  <c r="C33" i="6" s="1"/>
  <c r="C31" i="6" s="1"/>
  <c r="C32" i="6" s="1"/>
  <c r="E49" i="1"/>
  <c r="G49" i="1" s="1"/>
  <c r="C27" i="6" s="1"/>
  <c r="F69" i="1"/>
  <c r="C10" i="6" s="1"/>
  <c r="D10" i="6" s="1"/>
  <c r="E10" i="7"/>
  <c r="E20" i="7" s="1"/>
  <c r="E19" i="2"/>
  <c r="E45" i="2"/>
  <c r="E63" i="2"/>
  <c r="E28" i="2"/>
  <c r="G44" i="2"/>
  <c r="H44" i="2"/>
  <c r="H11" i="1"/>
  <c r="G11" i="1"/>
  <c r="J7" i="1"/>
  <c r="E51" i="1"/>
  <c r="E67" i="1"/>
  <c r="E69" i="1"/>
  <c r="E39" i="1"/>
  <c r="E29" i="1"/>
  <c r="G29" i="1" s="1"/>
  <c r="E27" i="1"/>
  <c r="E25" i="1"/>
  <c r="E16" i="1"/>
  <c r="H8" i="7"/>
  <c r="H9" i="7"/>
  <c r="H11" i="7"/>
  <c r="H12" i="7"/>
  <c r="H13" i="7"/>
  <c r="H14" i="7"/>
  <c r="H15" i="7"/>
  <c r="H16" i="7"/>
  <c r="H17" i="7"/>
  <c r="H18" i="7"/>
  <c r="H19" i="7"/>
  <c r="H21" i="7"/>
  <c r="H22" i="7"/>
  <c r="H24" i="7"/>
  <c r="H25" i="7"/>
  <c r="G9" i="7"/>
  <c r="G11" i="7"/>
  <c r="G12" i="7"/>
  <c r="G13" i="7"/>
  <c r="G14" i="7"/>
  <c r="G15" i="7"/>
  <c r="G16" i="7"/>
  <c r="G17" i="7"/>
  <c r="G18" i="7"/>
  <c r="G19" i="7"/>
  <c r="G21" i="7"/>
  <c r="G22" i="7"/>
  <c r="G24" i="7"/>
  <c r="G25" i="7"/>
  <c r="J7" i="2"/>
  <c r="I7" i="2"/>
  <c r="I7" i="1"/>
  <c r="G21" i="1"/>
  <c r="H21" i="1"/>
  <c r="G19" i="1"/>
  <c r="H19" i="1"/>
  <c r="G8" i="7"/>
  <c r="A2" i="6"/>
  <c r="F29" i="7"/>
  <c r="F30" i="7"/>
  <c r="E30" i="7"/>
  <c r="E29" i="7"/>
  <c r="E31" i="7" s="1"/>
  <c r="H66" i="1"/>
  <c r="H60" i="1"/>
  <c r="H48" i="1"/>
  <c r="H50" i="1"/>
  <c r="H26" i="1"/>
  <c r="H27" i="1"/>
  <c r="H28" i="1"/>
  <c r="H29" i="1" s="1"/>
  <c r="H24" i="1"/>
  <c r="G27" i="1"/>
  <c r="G2" i="1"/>
  <c r="I2" i="1"/>
  <c r="C2" i="1"/>
  <c r="H64" i="1"/>
  <c r="H65" i="1"/>
  <c r="H61" i="1"/>
  <c r="H54" i="1"/>
  <c r="H55" i="1"/>
  <c r="H56" i="1"/>
  <c r="H57" i="1"/>
  <c r="H58" i="1"/>
  <c r="H59" i="1"/>
  <c r="H44" i="1"/>
  <c r="H45" i="1"/>
  <c r="H46" i="1"/>
  <c r="H47" i="1"/>
  <c r="H32" i="1"/>
  <c r="H33" i="1"/>
  <c r="H34" i="1"/>
  <c r="H35" i="1"/>
  <c r="H36" i="1"/>
  <c r="H37" i="1"/>
  <c r="H38" i="1"/>
  <c r="H25" i="1"/>
  <c r="H20" i="1"/>
  <c r="H22" i="1"/>
  <c r="H23" i="1"/>
  <c r="H13" i="1"/>
  <c r="H14" i="1"/>
  <c r="H15" i="1"/>
  <c r="H12" i="1"/>
  <c r="H68" i="1"/>
  <c r="H63" i="1"/>
  <c r="H53" i="1"/>
  <c r="H43" i="1"/>
  <c r="H31" i="1"/>
  <c r="H18" i="1"/>
  <c r="G12" i="1"/>
  <c r="G13" i="1"/>
  <c r="G14" i="1"/>
  <c r="G15" i="1"/>
  <c r="G68" i="1"/>
  <c r="G67" i="1"/>
  <c r="G65" i="1"/>
  <c r="G64" i="1"/>
  <c r="G63" i="1"/>
  <c r="G62" i="1"/>
  <c r="G58" i="1"/>
  <c r="G57" i="1"/>
  <c r="G56" i="1"/>
  <c r="G55" i="1"/>
  <c r="G54" i="1"/>
  <c r="G53" i="1"/>
  <c r="G48" i="1"/>
  <c r="G47" i="1"/>
  <c r="G46" i="1"/>
  <c r="G45" i="1"/>
  <c r="G44" i="1"/>
  <c r="G43" i="1"/>
  <c r="G38" i="1"/>
  <c r="G37" i="1"/>
  <c r="G36" i="1"/>
  <c r="G35" i="1"/>
  <c r="G34" i="1"/>
  <c r="G33" i="1"/>
  <c r="G32" i="1"/>
  <c r="G31" i="1"/>
  <c r="G30" i="1"/>
  <c r="G24" i="1"/>
  <c r="G23" i="1"/>
  <c r="G22" i="1"/>
  <c r="G20" i="1"/>
  <c r="G18" i="1"/>
  <c r="G17" i="1"/>
  <c r="F2" i="6"/>
  <c r="I2" i="6"/>
  <c r="B29" i="6"/>
  <c r="C37" i="6"/>
  <c r="C36" i="6"/>
  <c r="B37" i="6"/>
  <c r="B36" i="6" s="1"/>
  <c r="D36" i="6" s="1"/>
  <c r="C35" i="6"/>
  <c r="B35" i="6"/>
  <c r="D35" i="6" s="1"/>
  <c r="C34" i="6"/>
  <c r="B34" i="6"/>
  <c r="D46" i="6"/>
  <c r="C15" i="6"/>
  <c r="C15" i="5" s="1"/>
  <c r="B10" i="6"/>
  <c r="B33" i="6"/>
  <c r="B31" i="6"/>
  <c r="D31" i="6" s="1"/>
  <c r="B41" i="6"/>
  <c r="D41" i="6" s="1"/>
  <c r="G1" i="12"/>
  <c r="H3" i="12"/>
  <c r="H1" i="12"/>
  <c r="F1" i="12"/>
  <c r="C1" i="12"/>
  <c r="B5" i="12"/>
  <c r="B3" i="12"/>
  <c r="Q33" i="12"/>
  <c r="Q43" i="12" s="1"/>
  <c r="O11" i="12"/>
  <c r="O21" i="12" s="1"/>
  <c r="O24" i="12" s="1"/>
  <c r="O27" i="12" s="1"/>
  <c r="N11" i="12"/>
  <c r="N21" i="12" s="1"/>
  <c r="M11" i="12"/>
  <c r="M21" i="12" s="1"/>
  <c r="L11" i="12"/>
  <c r="L21" i="12"/>
  <c r="L43" i="12" s="1"/>
  <c r="L24" i="12"/>
  <c r="L27" i="12" s="1"/>
  <c r="K11" i="12"/>
  <c r="K21" i="12"/>
  <c r="K24" i="12"/>
  <c r="K27" i="12" s="1"/>
  <c r="J11" i="12"/>
  <c r="J21" i="12" s="1"/>
  <c r="I11" i="12"/>
  <c r="I21" i="12"/>
  <c r="H11" i="12"/>
  <c r="H21" i="12"/>
  <c r="H24" i="12" s="1"/>
  <c r="G11" i="12"/>
  <c r="G21" i="12"/>
  <c r="G24" i="12"/>
  <c r="G27" i="12" s="1"/>
  <c r="F11" i="12"/>
  <c r="E11" i="12"/>
  <c r="E21" i="12"/>
  <c r="D11" i="12"/>
  <c r="D21" i="12" s="1"/>
  <c r="D24" i="12" s="1"/>
  <c r="D27" i="12" s="1"/>
  <c r="O48" i="12"/>
  <c r="N48" i="12"/>
  <c r="M48" i="12"/>
  <c r="L48" i="12"/>
  <c r="K48" i="12"/>
  <c r="J48" i="12"/>
  <c r="I48" i="12"/>
  <c r="H48" i="12"/>
  <c r="G48" i="12"/>
  <c r="F48" i="12"/>
  <c r="E48" i="12"/>
  <c r="O47" i="12"/>
  <c r="N47" i="12"/>
  <c r="M47" i="12"/>
  <c r="L47" i="12"/>
  <c r="K47" i="12"/>
  <c r="J47" i="12"/>
  <c r="I47" i="12"/>
  <c r="H47" i="12"/>
  <c r="G47" i="12"/>
  <c r="F47" i="12"/>
  <c r="E47" i="12"/>
  <c r="R45" i="12"/>
  <c r="O45" i="12"/>
  <c r="N45" i="12"/>
  <c r="M45" i="12"/>
  <c r="L45" i="12"/>
  <c r="K45" i="12"/>
  <c r="J45" i="12"/>
  <c r="I45" i="12"/>
  <c r="H45" i="12"/>
  <c r="G45" i="12"/>
  <c r="F45" i="12"/>
  <c r="E45" i="12"/>
  <c r="R44" i="12"/>
  <c r="O44" i="12"/>
  <c r="N44" i="12"/>
  <c r="M44" i="12"/>
  <c r="L44" i="12"/>
  <c r="K44" i="12"/>
  <c r="J44" i="12"/>
  <c r="I44" i="12"/>
  <c r="H44" i="12"/>
  <c r="G44" i="12"/>
  <c r="F44" i="12"/>
  <c r="E44" i="12"/>
  <c r="R42" i="12"/>
  <c r="O42" i="12"/>
  <c r="N42" i="12"/>
  <c r="M42" i="12"/>
  <c r="L42" i="12"/>
  <c r="K42" i="12"/>
  <c r="J42" i="12"/>
  <c r="I42" i="12"/>
  <c r="H42" i="12"/>
  <c r="G42" i="12"/>
  <c r="F42" i="12"/>
  <c r="E42" i="12"/>
  <c r="R41" i="12"/>
  <c r="O41" i="12"/>
  <c r="N41" i="12"/>
  <c r="M41" i="12"/>
  <c r="L41" i="12"/>
  <c r="K41" i="12"/>
  <c r="J41" i="12"/>
  <c r="I41" i="12"/>
  <c r="H41" i="12"/>
  <c r="G41" i="12"/>
  <c r="F41" i="12"/>
  <c r="E41" i="12"/>
  <c r="R40" i="12"/>
  <c r="O40" i="12"/>
  <c r="N40" i="12"/>
  <c r="M40" i="12"/>
  <c r="L40" i="12"/>
  <c r="K40" i="12"/>
  <c r="J40" i="12"/>
  <c r="I40" i="12"/>
  <c r="H40" i="12"/>
  <c r="G40" i="12"/>
  <c r="F40" i="12"/>
  <c r="E40" i="12"/>
  <c r="R39" i="12"/>
  <c r="O39" i="12"/>
  <c r="N39" i="12"/>
  <c r="M39" i="12"/>
  <c r="L39" i="12"/>
  <c r="K39" i="12"/>
  <c r="J39" i="12"/>
  <c r="I39" i="12"/>
  <c r="H39" i="12"/>
  <c r="G39" i="12"/>
  <c r="F39" i="12"/>
  <c r="E39" i="12"/>
  <c r="R38" i="12"/>
  <c r="O38" i="12"/>
  <c r="N38" i="12"/>
  <c r="M38" i="12"/>
  <c r="L38" i="12"/>
  <c r="K38" i="12"/>
  <c r="J38" i="12"/>
  <c r="I38" i="12"/>
  <c r="H38" i="12"/>
  <c r="G38" i="12"/>
  <c r="F38" i="12"/>
  <c r="E38" i="12"/>
  <c r="R37" i="12"/>
  <c r="O37" i="12"/>
  <c r="N37" i="12"/>
  <c r="M37" i="12"/>
  <c r="L37" i="12"/>
  <c r="K37" i="12"/>
  <c r="J37" i="12"/>
  <c r="I37" i="12"/>
  <c r="H37" i="12"/>
  <c r="G37" i="12"/>
  <c r="F37" i="12"/>
  <c r="E37" i="12"/>
  <c r="R36" i="12"/>
  <c r="O36" i="12"/>
  <c r="N36" i="12"/>
  <c r="M36" i="12"/>
  <c r="L36" i="12"/>
  <c r="K36" i="12"/>
  <c r="J36" i="12"/>
  <c r="I36" i="12"/>
  <c r="H36" i="12"/>
  <c r="G36" i="12"/>
  <c r="F36" i="12"/>
  <c r="E36" i="12"/>
  <c r="R35" i="12"/>
  <c r="O35" i="12"/>
  <c r="N35" i="12"/>
  <c r="M35" i="12"/>
  <c r="L35" i="12"/>
  <c r="K35" i="12"/>
  <c r="J35" i="12"/>
  <c r="I35" i="12"/>
  <c r="H35" i="12"/>
  <c r="G35" i="12"/>
  <c r="F35" i="12"/>
  <c r="E35" i="12"/>
  <c r="R34" i="12"/>
  <c r="O32" i="12"/>
  <c r="O31" i="12"/>
  <c r="O33" i="12"/>
  <c r="O34" i="12" s="1"/>
  <c r="N32" i="12"/>
  <c r="N31" i="12"/>
  <c r="N33" i="12" s="1"/>
  <c r="N34" i="12" s="1"/>
  <c r="M32" i="12"/>
  <c r="M31" i="12"/>
  <c r="M33" i="12" s="1"/>
  <c r="M34" i="12" s="1"/>
  <c r="L32" i="12"/>
  <c r="L31" i="12"/>
  <c r="L33" i="12"/>
  <c r="L34" i="12" s="1"/>
  <c r="K32" i="12"/>
  <c r="K31" i="12"/>
  <c r="K33" i="12"/>
  <c r="K34" i="12" s="1"/>
  <c r="J32" i="12"/>
  <c r="J31" i="12"/>
  <c r="J33" i="12" s="1"/>
  <c r="J34" i="12" s="1"/>
  <c r="I32" i="12"/>
  <c r="I31" i="12"/>
  <c r="I33" i="12" s="1"/>
  <c r="I34" i="12" s="1"/>
  <c r="H32" i="12"/>
  <c r="H31" i="12"/>
  <c r="H33" i="12"/>
  <c r="H34" i="12" s="1"/>
  <c r="G32" i="12"/>
  <c r="G31" i="12"/>
  <c r="G33" i="12"/>
  <c r="G34" i="12" s="1"/>
  <c r="F32" i="12"/>
  <c r="F31" i="12"/>
  <c r="F33" i="12" s="1"/>
  <c r="F34" i="12" s="1"/>
  <c r="E32" i="12"/>
  <c r="E31" i="12"/>
  <c r="E33" i="12" s="1"/>
  <c r="E34" i="12" s="1"/>
  <c r="R33" i="12"/>
  <c r="R32" i="12"/>
  <c r="R31" i="12"/>
  <c r="Q11" i="12"/>
  <c r="Q21" i="12" s="1"/>
  <c r="P12" i="12"/>
  <c r="R12" i="12" s="1"/>
  <c r="P13" i="12"/>
  <c r="P14" i="12"/>
  <c r="R14" i="12" s="1"/>
  <c r="P15" i="12"/>
  <c r="P16" i="12"/>
  <c r="R16" i="12" s="1"/>
  <c r="P17" i="12"/>
  <c r="R17" i="12" s="1"/>
  <c r="P18" i="12"/>
  <c r="R18" i="12" s="1"/>
  <c r="P19" i="12"/>
  <c r="P20" i="12"/>
  <c r="R20" i="12" s="1"/>
  <c r="P22" i="12"/>
  <c r="R22" i="12" s="1"/>
  <c r="P23" i="12"/>
  <c r="R23" i="12" s="1"/>
  <c r="P25" i="12"/>
  <c r="P26" i="12"/>
  <c r="R19" i="12"/>
  <c r="R15" i="12"/>
  <c r="R13" i="12"/>
  <c r="P10" i="12"/>
  <c r="R10" i="12" s="1"/>
  <c r="P9" i="12"/>
  <c r="R9" i="12"/>
  <c r="F5" i="12"/>
  <c r="H2" i="5"/>
  <c r="A38" i="5"/>
  <c r="A37" i="5"/>
  <c r="A36" i="5"/>
  <c r="A35" i="5"/>
  <c r="A34" i="5"/>
  <c r="A33" i="5"/>
  <c r="A32" i="5"/>
  <c r="A30" i="5"/>
  <c r="A29" i="5"/>
  <c r="A28" i="5"/>
  <c r="A27" i="5"/>
  <c r="A26" i="5"/>
  <c r="A25" i="5"/>
  <c r="A24" i="5"/>
  <c r="A23" i="5"/>
  <c r="A22" i="5"/>
  <c r="A19" i="5"/>
  <c r="A20" i="5"/>
  <c r="A18" i="5"/>
  <c r="A17" i="5"/>
  <c r="A14" i="5"/>
  <c r="A15" i="5"/>
  <c r="A13" i="5"/>
  <c r="A12" i="5"/>
  <c r="A8" i="5"/>
  <c r="A9" i="5"/>
  <c r="A7" i="5"/>
  <c r="A6" i="5"/>
  <c r="E2" i="5"/>
  <c r="A2" i="5"/>
  <c r="D6" i="5"/>
  <c r="D12" i="5"/>
  <c r="D17" i="5"/>
  <c r="D22" i="5"/>
  <c r="D32" i="5"/>
  <c r="C34" i="5"/>
  <c r="B9" i="5"/>
  <c r="B34" i="5"/>
  <c r="H58" i="2"/>
  <c r="H61" i="2"/>
  <c r="G61" i="2"/>
  <c r="H60" i="2"/>
  <c r="G60" i="2"/>
  <c r="H13" i="2"/>
  <c r="G2" i="2"/>
  <c r="I2" i="2"/>
  <c r="C2" i="2"/>
  <c r="H62" i="2"/>
  <c r="H48" i="2"/>
  <c r="H49" i="2"/>
  <c r="H50" i="2"/>
  <c r="H51" i="2"/>
  <c r="H52" i="2"/>
  <c r="H53" i="2"/>
  <c r="H54" i="2"/>
  <c r="H55" i="2"/>
  <c r="H56" i="2"/>
  <c r="H57" i="2"/>
  <c r="H59" i="2"/>
  <c r="H47" i="2"/>
  <c r="H32" i="2"/>
  <c r="H33" i="2"/>
  <c r="H34" i="2"/>
  <c r="H35" i="2"/>
  <c r="H36" i="2"/>
  <c r="H37" i="2"/>
  <c r="H38" i="2"/>
  <c r="H39" i="2"/>
  <c r="H40" i="2"/>
  <c r="H41" i="2"/>
  <c r="H42" i="2"/>
  <c r="H43" i="2"/>
  <c r="H31" i="2"/>
  <c r="H28" i="2"/>
  <c r="H26" i="2"/>
  <c r="H27" i="2"/>
  <c r="H25" i="2"/>
  <c r="H19" i="2"/>
  <c r="H11" i="2"/>
  <c r="H12" i="2"/>
  <c r="H15" i="2"/>
  <c r="H16" i="2"/>
  <c r="H17" i="2"/>
  <c r="H18" i="2"/>
  <c r="H10" i="2"/>
  <c r="G59" i="2"/>
  <c r="G58" i="2"/>
  <c r="G57" i="2"/>
  <c r="G56" i="2"/>
  <c r="G55" i="2"/>
  <c r="G54" i="2"/>
  <c r="G53" i="2"/>
  <c r="G52" i="2"/>
  <c r="G51" i="2"/>
  <c r="G50" i="2"/>
  <c r="G49" i="2"/>
  <c r="G48" i="2"/>
  <c r="G47" i="2"/>
  <c r="G43" i="2"/>
  <c r="G42" i="2"/>
  <c r="G41" i="2"/>
  <c r="G40" i="2"/>
  <c r="G39" i="2"/>
  <c r="G38" i="2"/>
  <c r="G37" i="2"/>
  <c r="G36" i="2"/>
  <c r="G35" i="2"/>
  <c r="G34" i="2"/>
  <c r="G33" i="2"/>
  <c r="G32" i="2"/>
  <c r="G31" i="2"/>
  <c r="G28" i="2"/>
  <c r="G27" i="2"/>
  <c r="G26" i="2"/>
  <c r="G25" i="2"/>
  <c r="G24" i="2"/>
  <c r="G19" i="2"/>
  <c r="G18" i="2"/>
  <c r="G17" i="2"/>
  <c r="G16" i="2"/>
  <c r="G15" i="2"/>
  <c r="G12" i="2"/>
  <c r="G11" i="2"/>
  <c r="G10" i="2"/>
  <c r="H2" i="7"/>
  <c r="F2" i="7"/>
  <c r="B2" i="7"/>
  <c r="B32" i="6"/>
  <c r="D32" i="6" s="1"/>
  <c r="B30" i="5"/>
  <c r="L46" i="12"/>
  <c r="C30" i="5"/>
  <c r="R43" i="12" l="1"/>
  <c r="Q46" i="12"/>
  <c r="C25" i="6"/>
  <c r="C27" i="5"/>
  <c r="H46" i="12"/>
  <c r="H27" i="12"/>
  <c r="L49" i="12"/>
  <c r="H63" i="2"/>
  <c r="H49" i="1"/>
  <c r="G45" i="2"/>
  <c r="B29" i="5"/>
  <c r="D33" i="6"/>
  <c r="D37" i="6"/>
  <c r="B27" i="6"/>
  <c r="H10" i="7"/>
  <c r="H45" i="2"/>
  <c r="C30" i="6"/>
  <c r="C28" i="6" s="1"/>
  <c r="C28" i="5" s="1"/>
  <c r="F23" i="2"/>
  <c r="F40" i="1"/>
  <c r="C24" i="6" s="1"/>
  <c r="C24" i="5" s="1"/>
  <c r="H43" i="12"/>
  <c r="C29" i="5"/>
  <c r="D34" i="6"/>
  <c r="D29" i="6"/>
  <c r="F31" i="7"/>
  <c r="G10" i="7"/>
  <c r="H49" i="12"/>
  <c r="Q24" i="12"/>
  <c r="F21" i="12"/>
  <c r="P11" i="12"/>
  <c r="M24" i="12"/>
  <c r="M43" i="12"/>
  <c r="B27" i="5"/>
  <c r="B25" i="6"/>
  <c r="D27" i="6"/>
  <c r="J24" i="12"/>
  <c r="J43" i="12"/>
  <c r="E21" i="2"/>
  <c r="E24" i="12"/>
  <c r="E43" i="12"/>
  <c r="G43" i="12"/>
  <c r="O43" i="12"/>
  <c r="N24" i="12"/>
  <c r="N43" i="12"/>
  <c r="H51" i="1"/>
  <c r="G51" i="1"/>
  <c r="E70" i="1"/>
  <c r="C49" i="6"/>
  <c r="C14" i="6"/>
  <c r="C14" i="5" s="1"/>
  <c r="C19" i="6"/>
  <c r="C19" i="5" s="1"/>
  <c r="C20" i="6"/>
  <c r="C20" i="5" s="1"/>
  <c r="I24" i="12"/>
  <c r="I43" i="12"/>
  <c r="K43" i="12"/>
  <c r="G16" i="1"/>
  <c r="H16" i="1"/>
  <c r="E40" i="1"/>
  <c r="G39" i="1"/>
  <c r="H39" i="1"/>
  <c r="E23" i="7"/>
  <c r="B15" i="6"/>
  <c r="H20" i="7"/>
  <c r="G20" i="7"/>
  <c r="C9" i="5"/>
  <c r="F64" i="2"/>
  <c r="C48" i="6"/>
  <c r="C38" i="5" s="1"/>
  <c r="B30" i="6"/>
  <c r="G69" i="1"/>
  <c r="H69" i="1"/>
  <c r="C42" i="6"/>
  <c r="C35" i="5" s="1"/>
  <c r="F70" i="1"/>
  <c r="C26" i="6" l="1"/>
  <c r="C26" i="5" s="1"/>
  <c r="C25" i="5"/>
  <c r="R46" i="12"/>
  <c r="R49" i="12" s="1"/>
  <c r="Q49" i="12"/>
  <c r="E71" i="1"/>
  <c r="B18" i="6"/>
  <c r="B8" i="6"/>
  <c r="B9" i="6"/>
  <c r="H70" i="1"/>
  <c r="G70" i="1"/>
  <c r="N27" i="12"/>
  <c r="O46" i="12"/>
  <c r="N46" i="12"/>
  <c r="E27" i="12"/>
  <c r="E49" i="12" s="1"/>
  <c r="E46" i="12"/>
  <c r="K46" i="12"/>
  <c r="J27" i="12"/>
  <c r="J46" i="12"/>
  <c r="J32" i="2"/>
  <c r="J36" i="2"/>
  <c r="J40" i="2"/>
  <c r="J44" i="2"/>
  <c r="J13" i="2"/>
  <c r="J18" i="2"/>
  <c r="J48" i="2"/>
  <c r="J52" i="2"/>
  <c r="J56" i="2"/>
  <c r="J60" i="2"/>
  <c r="J31" i="2"/>
  <c r="J37" i="2"/>
  <c r="J42" i="2"/>
  <c r="J11" i="2"/>
  <c r="J17" i="2"/>
  <c r="J50" i="2"/>
  <c r="J55" i="2"/>
  <c r="J61" i="2"/>
  <c r="J33" i="2"/>
  <c r="J38" i="2"/>
  <c r="J43" i="2"/>
  <c r="J12" i="2"/>
  <c r="J51" i="2"/>
  <c r="J57" i="2"/>
  <c r="C47" i="6"/>
  <c r="J34" i="2"/>
  <c r="J39" i="2"/>
  <c r="J21" i="2"/>
  <c r="J15" i="2"/>
  <c r="J47" i="2"/>
  <c r="J53" i="2"/>
  <c r="J58" i="2"/>
  <c r="J10" i="2"/>
  <c r="J59" i="2"/>
  <c r="J26" i="2"/>
  <c r="J16" i="2"/>
  <c r="C13" i="6"/>
  <c r="C13" i="5" s="1"/>
  <c r="J27" i="2"/>
  <c r="J35" i="2"/>
  <c r="J49" i="2"/>
  <c r="J41" i="2"/>
  <c r="J54" i="2"/>
  <c r="J25" i="2"/>
  <c r="J22" i="2"/>
  <c r="M27" i="12"/>
  <c r="M49" i="12" s="1"/>
  <c r="M46" i="12"/>
  <c r="Q27" i="12"/>
  <c r="C8" i="6"/>
  <c r="C7" i="5" s="1"/>
  <c r="C9" i="6"/>
  <c r="C8" i="5" s="1"/>
  <c r="F71" i="1"/>
  <c r="C18" i="6"/>
  <c r="D15" i="6"/>
  <c r="B15" i="5"/>
  <c r="G40" i="1"/>
  <c r="H40" i="1"/>
  <c r="B24" i="6"/>
  <c r="H21" i="2"/>
  <c r="G21" i="2"/>
  <c r="B25" i="5"/>
  <c r="B26" i="6"/>
  <c r="D25" i="6"/>
  <c r="P21" i="12"/>
  <c r="R11" i="12"/>
  <c r="D30" i="6"/>
  <c r="B28" i="6"/>
  <c r="E26" i="7"/>
  <c r="G23" i="7"/>
  <c r="H23" i="7"/>
  <c r="I27" i="12"/>
  <c r="I49" i="12" s="1"/>
  <c r="I46" i="12"/>
  <c r="F24" i="12"/>
  <c r="F43" i="12"/>
  <c r="J28" i="2" l="1"/>
  <c r="G46" i="12"/>
  <c r="F46" i="12"/>
  <c r="F27" i="12"/>
  <c r="D24" i="6"/>
  <c r="B24" i="5"/>
  <c r="J62" i="2"/>
  <c r="B8" i="5"/>
  <c r="D9" i="6"/>
  <c r="H26" i="7"/>
  <c r="G26" i="7"/>
  <c r="B42" i="6"/>
  <c r="E22" i="2"/>
  <c r="P24" i="12"/>
  <c r="R21" i="12"/>
  <c r="C18" i="5"/>
  <c r="C10" i="5"/>
  <c r="J19" i="2"/>
  <c r="O49" i="12"/>
  <c r="N49" i="12"/>
  <c r="B7" i="5"/>
  <c r="D8" i="6"/>
  <c r="D28" i="6"/>
  <c r="B28" i="5"/>
  <c r="J12" i="1"/>
  <c r="J20" i="1"/>
  <c r="J24" i="1"/>
  <c r="J31" i="1"/>
  <c r="J35" i="1"/>
  <c r="J43" i="1"/>
  <c r="J47" i="1"/>
  <c r="J50" i="1"/>
  <c r="J54" i="1"/>
  <c r="J58" i="1"/>
  <c r="J66" i="1"/>
  <c r="J21" i="1"/>
  <c r="J23" i="1"/>
  <c r="J37" i="1"/>
  <c r="J45" i="1"/>
  <c r="J59" i="1"/>
  <c r="J64" i="1"/>
  <c r="J68" i="1"/>
  <c r="J69" i="1" s="1"/>
  <c r="J13" i="1"/>
  <c r="J15" i="1"/>
  <c r="J18" i="1"/>
  <c r="J32" i="1"/>
  <c r="J34" i="1"/>
  <c r="J56" i="1"/>
  <c r="J11" i="1"/>
  <c r="J22" i="1"/>
  <c r="J26" i="1"/>
  <c r="J27" i="1" s="1"/>
  <c r="J36" i="1"/>
  <c r="J38" i="1"/>
  <c r="J44" i="1"/>
  <c r="J46" i="1"/>
  <c r="J53" i="1"/>
  <c r="J60" i="1"/>
  <c r="J63" i="1"/>
  <c r="J67" i="1" s="1"/>
  <c r="J65" i="1"/>
  <c r="C23" i="6"/>
  <c r="C23" i="5" s="1"/>
  <c r="C44" i="6"/>
  <c r="C43" i="6" s="1"/>
  <c r="C36" i="5" s="1"/>
  <c r="J19" i="1"/>
  <c r="J28" i="1"/>
  <c r="J29" i="1" s="1"/>
  <c r="J55" i="1"/>
  <c r="J14" i="1"/>
  <c r="J48" i="1"/>
  <c r="J57" i="1"/>
  <c r="J33" i="1"/>
  <c r="F65" i="2"/>
  <c r="J23" i="2"/>
  <c r="B18" i="5"/>
  <c r="D18" i="6"/>
  <c r="B10" i="5"/>
  <c r="B26" i="5"/>
  <c r="D26" i="6"/>
  <c r="J45" i="2"/>
  <c r="K49" i="12"/>
  <c r="J49" i="12"/>
  <c r="I13" i="1"/>
  <c r="K13" i="1" s="1"/>
  <c r="I21" i="1"/>
  <c r="K21" i="1" s="1"/>
  <c r="I28" i="1"/>
  <c r="I32" i="1"/>
  <c r="K32" i="1" s="1"/>
  <c r="I36" i="1"/>
  <c r="I44" i="1"/>
  <c r="K44" i="1" s="1"/>
  <c r="I48" i="1"/>
  <c r="K48" i="1" s="1"/>
  <c r="I55" i="1"/>
  <c r="I59" i="1"/>
  <c r="I63" i="1"/>
  <c r="I14" i="1"/>
  <c r="K14" i="1" s="1"/>
  <c r="I19" i="1"/>
  <c r="K19" i="1" s="1"/>
  <c r="I33" i="1"/>
  <c r="I35" i="1"/>
  <c r="K35" i="1" s="1"/>
  <c r="I43" i="1"/>
  <c r="I57" i="1"/>
  <c r="K57" i="1" s="1"/>
  <c r="I11" i="1"/>
  <c r="I23" i="1"/>
  <c r="K23" i="1" s="1"/>
  <c r="I37" i="1"/>
  <c r="K37" i="1" s="1"/>
  <c r="I45" i="1"/>
  <c r="K45" i="1" s="1"/>
  <c r="I47" i="1"/>
  <c r="K47" i="1" s="1"/>
  <c r="I54" i="1"/>
  <c r="K54" i="1" s="1"/>
  <c r="I64" i="1"/>
  <c r="K64" i="1" s="1"/>
  <c r="I66" i="1"/>
  <c r="K66" i="1" s="1"/>
  <c r="I68" i="1"/>
  <c r="I15" i="1"/>
  <c r="K15" i="1" s="1"/>
  <c r="I18" i="1"/>
  <c r="I20" i="1"/>
  <c r="K20" i="1" s="1"/>
  <c r="I34" i="1"/>
  <c r="K34" i="1" s="1"/>
  <c r="I56" i="1"/>
  <c r="K56" i="1" s="1"/>
  <c r="I58" i="1"/>
  <c r="K58" i="1" s="1"/>
  <c r="I26" i="1"/>
  <c r="I53" i="1"/>
  <c r="I60" i="1"/>
  <c r="K60" i="1" s="1"/>
  <c r="B23" i="6"/>
  <c r="H71" i="1"/>
  <c r="I12" i="1"/>
  <c r="K12" i="1" s="1"/>
  <c r="I46" i="1"/>
  <c r="K46" i="1" s="1"/>
  <c r="B44" i="6"/>
  <c r="I22" i="1"/>
  <c r="K22" i="1" s="1"/>
  <c r="I31" i="1"/>
  <c r="I38" i="1"/>
  <c r="K38" i="1" s="1"/>
  <c r="I65" i="1"/>
  <c r="K65" i="1" s="1"/>
  <c r="I24" i="1"/>
  <c r="K24" i="1" s="1"/>
  <c r="I50" i="1"/>
  <c r="G71" i="1"/>
  <c r="K50" i="1" l="1"/>
  <c r="K33" i="1"/>
  <c r="K59" i="1"/>
  <c r="K36" i="1"/>
  <c r="K55" i="1"/>
  <c r="K63" i="1"/>
  <c r="K67" i="1" s="1"/>
  <c r="I67" i="1"/>
  <c r="J61" i="1"/>
  <c r="J39" i="1"/>
  <c r="G22" i="2"/>
  <c r="H22" i="2"/>
  <c r="E23" i="2"/>
  <c r="K31" i="1"/>
  <c r="I39" i="1"/>
  <c r="K53" i="1"/>
  <c r="K61" i="1" s="1"/>
  <c r="I61" i="1"/>
  <c r="K68" i="1"/>
  <c r="K69" i="1" s="1"/>
  <c r="I69" i="1"/>
  <c r="K11" i="1"/>
  <c r="K16" i="1" s="1"/>
  <c r="I16" i="1"/>
  <c r="D42" i="6"/>
  <c r="B35" i="5"/>
  <c r="F49" i="12"/>
  <c r="G49" i="12"/>
  <c r="K26" i="1"/>
  <c r="I27" i="1"/>
  <c r="K27" i="1" s="1"/>
  <c r="J49" i="1"/>
  <c r="J51" i="1" s="1"/>
  <c r="P27" i="12"/>
  <c r="R24" i="12"/>
  <c r="R27" i="12" s="1"/>
  <c r="J63" i="2"/>
  <c r="J64" i="2" s="1"/>
  <c r="D44" i="6"/>
  <c r="B43" i="6"/>
  <c r="B23" i="5"/>
  <c r="D23" i="6"/>
  <c r="K18" i="1"/>
  <c r="K25" i="1" s="1"/>
  <c r="I25" i="1"/>
  <c r="K43" i="1"/>
  <c r="I49" i="1"/>
  <c r="I51" i="1"/>
  <c r="K28" i="1"/>
  <c r="K29" i="1" s="1"/>
  <c r="I29" i="1"/>
  <c r="J16" i="1"/>
  <c r="J25" i="1"/>
  <c r="K39" i="1" l="1"/>
  <c r="B19" i="6"/>
  <c r="B20" i="6"/>
  <c r="B14" i="6"/>
  <c r="B49" i="6"/>
  <c r="D49" i="6" s="1"/>
  <c r="G23" i="2"/>
  <c r="H23" i="2"/>
  <c r="E64" i="2"/>
  <c r="B48" i="6"/>
  <c r="J40" i="1"/>
  <c r="K49" i="1"/>
  <c r="K51" i="1" s="1"/>
  <c r="J70" i="1"/>
  <c r="J71" i="1" s="1"/>
  <c r="B36" i="5"/>
  <c r="D43" i="6"/>
  <c r="I70" i="1"/>
  <c r="I40" i="1"/>
  <c r="K70" i="1"/>
  <c r="K40" i="1"/>
  <c r="I71" i="1" l="1"/>
  <c r="I26" i="2"/>
  <c r="K26" i="2" s="1"/>
  <c r="I13" i="2"/>
  <c r="K13" i="2" s="1"/>
  <c r="I18" i="2"/>
  <c r="K18" i="2" s="1"/>
  <c r="I31" i="2"/>
  <c r="I36" i="2"/>
  <c r="K36" i="2" s="1"/>
  <c r="I39" i="2"/>
  <c r="K39" i="2" s="1"/>
  <c r="I44" i="2"/>
  <c r="K44" i="2" s="1"/>
  <c r="I12" i="2"/>
  <c r="K12" i="2" s="1"/>
  <c r="I34" i="2"/>
  <c r="K34" i="2" s="1"/>
  <c r="I37" i="2"/>
  <c r="K37" i="2" s="1"/>
  <c r="I42" i="2"/>
  <c r="K42" i="2" s="1"/>
  <c r="I15" i="2"/>
  <c r="K15" i="2" s="1"/>
  <c r="I32" i="2"/>
  <c r="K32" i="2" s="1"/>
  <c r="I35" i="2"/>
  <c r="K35" i="2" s="1"/>
  <c r="I40" i="2"/>
  <c r="K40" i="2" s="1"/>
  <c r="I43" i="2"/>
  <c r="K43" i="2" s="1"/>
  <c r="I25" i="2"/>
  <c r="I10" i="2"/>
  <c r="I16" i="2"/>
  <c r="K16" i="2" s="1"/>
  <c r="I41" i="2"/>
  <c r="K41" i="2" s="1"/>
  <c r="I51" i="2"/>
  <c r="K51" i="2" s="1"/>
  <c r="I55" i="2"/>
  <c r="K55" i="2" s="1"/>
  <c r="I59" i="2"/>
  <c r="K59" i="2" s="1"/>
  <c r="I58" i="2"/>
  <c r="K58" i="2" s="1"/>
  <c r="I50" i="2"/>
  <c r="K50" i="2" s="1"/>
  <c r="G64" i="2"/>
  <c r="H64" i="2"/>
  <c r="I53" i="2"/>
  <c r="K53" i="2" s="1"/>
  <c r="I54" i="2"/>
  <c r="K54" i="2" s="1"/>
  <c r="I33" i="2"/>
  <c r="K33" i="2" s="1"/>
  <c r="I27" i="2"/>
  <c r="K27" i="2" s="1"/>
  <c r="I48" i="2"/>
  <c r="K48" i="2" s="1"/>
  <c r="I52" i="2"/>
  <c r="K52" i="2" s="1"/>
  <c r="I61" i="2"/>
  <c r="K61" i="2" s="1"/>
  <c r="I47" i="2"/>
  <c r="B13" i="6"/>
  <c r="I57" i="2"/>
  <c r="K57" i="2" s="1"/>
  <c r="B47" i="6"/>
  <c r="D47" i="6" s="1"/>
  <c r="I11" i="2"/>
  <c r="K11" i="2" s="1"/>
  <c r="I49" i="2"/>
  <c r="K49" i="2" s="1"/>
  <c r="I38" i="2"/>
  <c r="K38" i="2" s="1"/>
  <c r="I17" i="2"/>
  <c r="K17" i="2" s="1"/>
  <c r="I60" i="2"/>
  <c r="K60" i="2" s="1"/>
  <c r="I56" i="2"/>
  <c r="K56" i="2" s="1"/>
  <c r="E65" i="2"/>
  <c r="D65" i="2"/>
  <c r="I21" i="2"/>
  <c r="I22" i="2"/>
  <c r="K22" i="2" s="1"/>
  <c r="B14" i="5"/>
  <c r="D14" i="6"/>
  <c r="D20" i="6"/>
  <c r="B20" i="5"/>
  <c r="D48" i="6"/>
  <c r="B38" i="5"/>
  <c r="K71" i="1"/>
  <c r="D19" i="6"/>
  <c r="B19" i="5"/>
  <c r="I23" i="2" l="1"/>
  <c r="K21" i="2"/>
  <c r="K23" i="2" s="1"/>
  <c r="I62" i="2"/>
  <c r="K47" i="2"/>
  <c r="K62" i="2" s="1"/>
  <c r="K63" i="2" s="1"/>
  <c r="I19" i="2"/>
  <c r="K10" i="2"/>
  <c r="K19" i="2" s="1"/>
  <c r="I28" i="2"/>
  <c r="K25" i="2"/>
  <c r="K28" i="2" s="1"/>
  <c r="D13" i="6"/>
  <c r="B13" i="5"/>
  <c r="K31" i="2"/>
  <c r="K45" i="2" s="1"/>
  <c r="I45" i="2"/>
  <c r="I63" i="2" l="1"/>
  <c r="I64" i="2" s="1"/>
  <c r="K64" i="2" s="1"/>
</calcChain>
</file>

<file path=xl/comments1.xml><?xml version="1.0" encoding="utf-8"?>
<comments xmlns="http://schemas.openxmlformats.org/spreadsheetml/2006/main">
  <authors>
    <author>Loreta</author>
  </authors>
  <commentList>
    <comment ref="E15" authorId="0" shapeId="0">
      <text>
        <r>
          <rPr>
            <sz val="8"/>
            <color indexed="81"/>
            <rFont val="Tahoma"/>
          </rPr>
          <t xml:space="preserve">
5=drošs koefic. līmenis
</t>
        </r>
      </text>
    </comment>
    <comment ref="E29" authorId="0" shapeId="0">
      <text>
        <r>
          <rPr>
            <sz val="8"/>
            <color indexed="81"/>
            <rFont val="Tahoma"/>
          </rPr>
          <t xml:space="preserve">
Vidējais Latvijā
</t>
        </r>
      </text>
    </comment>
    <comment ref="E42" authorId="0" shapeId="0">
      <text>
        <r>
          <rPr>
            <sz val="8"/>
            <color indexed="81"/>
            <rFont val="Tahoma"/>
          </rPr>
          <t xml:space="preserve">Zemāk par 10 vērtējams negatīvi. Bet mazumtirsdzniecībā normāli, jo ātrāks apgrozījums.
</t>
        </r>
      </text>
    </comment>
    <comment ref="E48" authorId="0" shapeId="0">
      <text>
        <r>
          <rPr>
            <sz val="8"/>
            <color indexed="81"/>
            <rFont val="Tahoma"/>
          </rPr>
          <t xml:space="preserve">
Normāls līmenis
</t>
        </r>
      </text>
    </comment>
  </commentList>
</comments>
</file>

<file path=xl/sharedStrings.xml><?xml version="1.0" encoding="utf-8"?>
<sst xmlns="http://schemas.openxmlformats.org/spreadsheetml/2006/main" count="449" uniqueCount="329">
  <si>
    <t>1. ILGTERMIŅA IEGULDĪJUMI</t>
  </si>
  <si>
    <t>I Nemateriālie ieguldījumi</t>
  </si>
  <si>
    <t>2. Koncesijas, patenti, licences, preču zīmes un tamlīdzīgas tiesības</t>
  </si>
  <si>
    <t>3. Citi nemateriālie ieguldījumi</t>
  </si>
  <si>
    <t>5. Avansa maksājumi par nemateriālajiem ieguldījumiem</t>
  </si>
  <si>
    <t>II Pamatlīdzekļi</t>
  </si>
  <si>
    <t>1. Zemes gabali, ēkas, būves un ilggadīgie stādījumi</t>
  </si>
  <si>
    <t>2. Ilgtermiņa ieguldījumi nomātos pamatlīdzekļos</t>
  </si>
  <si>
    <t>5. Pārējie vērtspapīri un ieguldījumi</t>
  </si>
  <si>
    <t>7. Pašu akcijas un daļas</t>
  </si>
  <si>
    <t>1. IEDAĻAS KOPSUMMA</t>
  </si>
  <si>
    <t>2. APGROZĀMIE LĪDZEKĻI</t>
  </si>
  <si>
    <t>I Krājumi</t>
  </si>
  <si>
    <t>1. Izejvielas, pamatmateriāli un palīgmateriāli</t>
  </si>
  <si>
    <t>2. Nepabeigtie ražojumi</t>
  </si>
  <si>
    <t>3. Gatavie ražojumi un preces pārdošanai</t>
  </si>
  <si>
    <t>4. Nepabeigtie pasūtījumi</t>
  </si>
  <si>
    <t>5. Avansa maksājumi par precēm</t>
  </si>
  <si>
    <t>7. Nākamo periodu izmaksas</t>
  </si>
  <si>
    <t>1. Pircēju un pasūtītāju parādi</t>
  </si>
  <si>
    <t>4. Citi debitori</t>
  </si>
  <si>
    <t>5. Neiemaksātās daļas sabiedrības kapitālā</t>
  </si>
  <si>
    <t>6. Darba dzīvnieki un produktīvie dzīvnieki</t>
  </si>
  <si>
    <t>2. Pašu akcijas un daļas</t>
  </si>
  <si>
    <t>3. Pārējie vērtspapīri un līdzdalība kapitālos</t>
  </si>
  <si>
    <t>I KOPĀ</t>
  </si>
  <si>
    <t>II KOPĀ</t>
  </si>
  <si>
    <t>III KOPĀ</t>
  </si>
  <si>
    <t>IV KOPĀ</t>
  </si>
  <si>
    <t>2. IEDAĻAS KOPSUMMA</t>
  </si>
  <si>
    <t>BILANCE</t>
  </si>
  <si>
    <t>1. PAŠU KAPITĀLS</t>
  </si>
  <si>
    <t>3. Ilgtermiņa ieguldījumu pārvērtēšanas rezerve</t>
  </si>
  <si>
    <t>a) likumā noteiktās rezerves</t>
  </si>
  <si>
    <t>b) rezerves pašu akcijām vai daļām</t>
  </si>
  <si>
    <t>c) sabiedrības statūtos noteiktās rezerves</t>
  </si>
  <si>
    <t>d) pārējās rezerves</t>
  </si>
  <si>
    <t>4. KOPĀ</t>
  </si>
  <si>
    <t>a) iepriekšējo gadu nesadalītā peļņa</t>
  </si>
  <si>
    <t>b) pārskata gada nesadalītā peļņa</t>
  </si>
  <si>
    <t>2. UZKRĀJUMI</t>
  </si>
  <si>
    <t>1. Uzkrājumi  pensijām un tamlīdzīgām saistībām</t>
  </si>
  <si>
    <t>3. Citi uzkrājumi</t>
  </si>
  <si>
    <t>3. KREDITORI</t>
  </si>
  <si>
    <t>I Ilgtermiņa kreditori</t>
  </si>
  <si>
    <t>1. Aizņēmumi pret obligācijām</t>
  </si>
  <si>
    <t>2. Akcijās pārvēršamie aizņēmumi</t>
  </si>
  <si>
    <t>4. Citi aizņēmumi</t>
  </si>
  <si>
    <t>5. No pircējiem saņemtie avansi</t>
  </si>
  <si>
    <t>6. Parādi piegādātājiem un darbuzņēmējiem</t>
  </si>
  <si>
    <t>7. Maksājamie vekseļi</t>
  </si>
  <si>
    <t>10. Nodokļi un sociālās nodrošināšanas maksājumi</t>
  </si>
  <si>
    <t>11. Pārējie kreditori</t>
  </si>
  <si>
    <t>12. Nākamo periodu ieņēmumi</t>
  </si>
  <si>
    <t>II Īstermiņa kreditori</t>
  </si>
  <si>
    <t>3. Aizņēmumi no kredītiestādēm</t>
  </si>
  <si>
    <t>3. IEDAĻAS KOPSUMMA</t>
  </si>
  <si>
    <t>1. Akciju kapitāls (pamatkapitāls)</t>
  </si>
  <si>
    <t>2. Uzkrājumi paredzamajiem nodokļiem</t>
  </si>
  <si>
    <t>Finansu rādītāji</t>
  </si>
  <si>
    <t>1.LIKVIDITĀTE</t>
  </si>
  <si>
    <t>2.MAKSĀTSPĒJAS</t>
  </si>
  <si>
    <t>3. BILANCES ZELTA LIKUMI</t>
  </si>
  <si>
    <t>4. EFEKTIVITĀTE</t>
  </si>
  <si>
    <t>Nr.</t>
  </si>
  <si>
    <t>Rādītāja nosaukums</t>
  </si>
  <si>
    <t>Neto apgrozījums</t>
  </si>
  <si>
    <t>Pārdotās produkcijas ražošanas izmaksas</t>
  </si>
  <si>
    <t>Bruto peļņa vai zaudējumi (no apgrozījuma)</t>
  </si>
  <si>
    <t>Pārdošanas izmaksas</t>
  </si>
  <si>
    <t>Administrācijas izmaksas</t>
  </si>
  <si>
    <t>Pārējie uzņēmuma saimnieciskās darbības ieņēmumi</t>
  </si>
  <si>
    <t>Pārējās uzņēmuma saimnieciskās darbības izmaksas</t>
  </si>
  <si>
    <t>Ieņēmumi no līdzdalības koncerna meitas un asociēto uzņēmumu kapitālos</t>
  </si>
  <si>
    <t>Ieņēmumi no vērtspapīriem un aizdevumiem, kas veidojuši ilgtermiņa ieguldījumus</t>
  </si>
  <si>
    <t>Pārējie procentu ieņēmumi un tamlīdzīgi ieņēmumi</t>
  </si>
  <si>
    <t>Ilgtermiņa finansu ieguldījumu un īstermiņa vērtspapīru vērtības norakstīšana</t>
  </si>
  <si>
    <t>Procentu maksājumi vai tamlīdzīgas izmaksas</t>
  </si>
  <si>
    <t>Peļņa vai zaudējumi pirms ārkārtas posteņiem un nodokļiem</t>
  </si>
  <si>
    <t>Ārkārtas ieņēmumi</t>
  </si>
  <si>
    <t>Ārkārtas izmaksas</t>
  </si>
  <si>
    <t>Peļņa vai zaudējumi pirms nodokļiem</t>
  </si>
  <si>
    <t>Uzņēmuma ienākuma nodoklis par pārskata periodu</t>
  </si>
  <si>
    <t>Pārējie nodokļi</t>
  </si>
  <si>
    <t>Pārskata perioda peļņa vai zaudējumi pēc nodokļiem</t>
  </si>
  <si>
    <t>ap 60</t>
  </si>
  <si>
    <t>5.RENTABILITĀTE</t>
  </si>
  <si>
    <t>Krit.rob. 1</t>
  </si>
  <si>
    <t>X</t>
  </si>
  <si>
    <t>(Krājumi gada sākumā + krājumi gada beigās) / 2.</t>
  </si>
  <si>
    <t>dienas</t>
  </si>
  <si>
    <t>Gada vidējie debitoru parādi</t>
  </si>
  <si>
    <t>Gada vidējie krājumi</t>
  </si>
  <si>
    <t>(Debitori gada sākumā + gada beigās) / 2</t>
  </si>
  <si>
    <r>
      <t xml:space="preserve"> Gada dienas / krāj.aprites koefic</t>
    </r>
    <r>
      <rPr>
        <sz val="10"/>
        <color indexed="21"/>
        <rFont val="Times New Roman"/>
        <family val="1"/>
        <charset val="186"/>
      </rPr>
      <t xml:space="preserve">. (360-365). Cik dienas nepieciešamas krājumu atjaunošanai un pārdošanai. Jo augstāks un ātrāks koeficents, jo mazāk līdzekļu iesaistīti krājumos (tā ir apgrozāmo līdzekļu mazāk likvīdā daļa), jo stabilāks uzņēmuma finansiālais stāvoklis. </t>
    </r>
  </si>
  <si>
    <t>(Kredit.gada sākumā + kredit.gada beigās) / 2</t>
  </si>
  <si>
    <t>Gada vidējie kreditori</t>
  </si>
  <si>
    <t>Aprēķina metodes, skaidrojumi</t>
  </si>
  <si>
    <t>Vidējais vienas dienas apgrozījums</t>
  </si>
  <si>
    <t xml:space="preserve">Neto apgrozījums / gada dienas. </t>
  </si>
  <si>
    <t>Vērtējums, piezīmes</t>
  </si>
  <si>
    <t>Komerciālais viedoklis - cik daudz peļņas uzņēmums ieguvis uz neto apgrozījuma vienību</t>
  </si>
  <si>
    <t>Ekonomiskais viedoklis - cik peļņas iegūts, rēķinot uz uzņēmuma aktīvu vienību</t>
  </si>
  <si>
    <t>Pašu kapitāla rentabilitāte</t>
  </si>
  <si>
    <t>Finansiālais viedoklis - cik daudz peļņas ieguvuši uzņēmuma īpašnieki uz ieguldītā kapitāla vienību</t>
  </si>
  <si>
    <t>4.2. Ilgtermiņa ieguldījumu aprite</t>
  </si>
  <si>
    <t>4.7. Nepabeigtās ražošanas aprite</t>
  </si>
  <si>
    <t>4.8. Gatavās produkcijas aprite</t>
  </si>
  <si>
    <t>4.9. Pircēju parādu vidējais dzēšanas ilgums (dienas)</t>
  </si>
  <si>
    <t>Pašu kapitāla gada vidējā summa</t>
  </si>
  <si>
    <t>Kopkapitāla gada vidējā summa</t>
  </si>
  <si>
    <t>Bil.summa g.beig. + bil.summa g.sāk. / 2</t>
  </si>
  <si>
    <t>Aktīvu gada vidējais atlikums</t>
  </si>
  <si>
    <t>3.1. Apgroz.līdz. segums ar īsterm. saistībām</t>
  </si>
  <si>
    <t>3.2. Ilgterm.ieguld segums ar pašu kapitālu</t>
  </si>
  <si>
    <t>Kopkapitāla rentabilitāte (rendits)</t>
  </si>
  <si>
    <t>Aizņemto kredītu un aizņēmumu procentu likme.</t>
  </si>
  <si>
    <r>
      <t>P</t>
    </r>
    <r>
      <rPr>
        <sz val="10"/>
        <color indexed="21"/>
        <rFont val="Times New Roman"/>
        <family val="1"/>
        <charset val="186"/>
      </rPr>
      <t xml:space="preserve">-peļņa ;   </t>
    </r>
    <r>
      <rPr>
        <b/>
        <sz val="10"/>
        <color indexed="21"/>
        <rFont val="Times New Roman"/>
        <family val="1"/>
        <charset val="186"/>
      </rPr>
      <t>PK</t>
    </r>
    <r>
      <rPr>
        <sz val="10"/>
        <color indexed="21"/>
        <rFont val="Times New Roman"/>
        <family val="1"/>
        <charset val="186"/>
      </rPr>
      <t xml:space="preserve">-pašu kapitāls ;  </t>
    </r>
    <r>
      <rPr>
        <b/>
        <sz val="10"/>
        <color indexed="21"/>
        <rFont val="Times New Roman"/>
        <family val="1"/>
        <charset val="186"/>
      </rPr>
      <t>AK</t>
    </r>
    <r>
      <rPr>
        <sz val="10"/>
        <color indexed="21"/>
        <rFont val="Times New Roman"/>
        <family val="1"/>
        <charset val="186"/>
      </rPr>
      <t xml:space="preserve">-aizņemtais kapitāls ;         </t>
    </r>
    <r>
      <rPr>
        <b/>
        <sz val="10"/>
        <color indexed="21"/>
        <rFont val="Times New Roman"/>
        <family val="1"/>
        <charset val="186"/>
      </rPr>
      <t>r</t>
    </r>
    <r>
      <rPr>
        <sz val="10"/>
        <color indexed="21"/>
        <rFont val="Times New Roman"/>
        <family val="1"/>
        <charset val="186"/>
      </rPr>
      <t xml:space="preserve">-rendits ;    </t>
    </r>
    <r>
      <rPr>
        <b/>
        <sz val="10"/>
        <color indexed="21"/>
        <rFont val="Times New Roman"/>
        <family val="1"/>
        <charset val="186"/>
      </rPr>
      <t>r(PK)</t>
    </r>
    <r>
      <rPr>
        <sz val="10"/>
        <color indexed="21"/>
        <rFont val="Times New Roman"/>
        <family val="1"/>
        <charset val="186"/>
      </rPr>
      <t xml:space="preserve">-pašu kapitāla rentabilitāte;     </t>
    </r>
    <r>
      <rPr>
        <b/>
        <sz val="10"/>
        <color indexed="21"/>
        <rFont val="Times New Roman"/>
        <family val="1"/>
        <charset val="186"/>
      </rPr>
      <t>p</t>
    </r>
    <r>
      <rPr>
        <sz val="10"/>
        <color indexed="21"/>
        <rFont val="Times New Roman"/>
        <family val="1"/>
        <charset val="186"/>
      </rPr>
      <t>-aizņemtā kapitāla procentu likme</t>
    </r>
  </si>
  <si>
    <r>
      <t>(Bruto peļņa / neto apgrozījums) x 100</t>
    </r>
    <r>
      <rPr>
        <sz val="10"/>
        <color indexed="21"/>
        <rFont val="Times New Roman"/>
        <family val="1"/>
        <charset val="186"/>
      </rPr>
      <t>.</t>
    </r>
  </si>
  <si>
    <r>
      <t>(Peļņa pirms procentu un nodokļu atskaitīšanas / aktīvu vidējais atlikums) x 100</t>
    </r>
    <r>
      <rPr>
        <sz val="10"/>
        <color indexed="21"/>
        <rFont val="Times New Roman"/>
        <family val="1"/>
        <charset val="186"/>
      </rPr>
      <t>.</t>
    </r>
  </si>
  <si>
    <r>
      <t>(Neto peļņa + samaksātie procenti / kopkapitāla vidējā summa) x 100</t>
    </r>
    <r>
      <rPr>
        <sz val="10"/>
        <color indexed="21"/>
        <rFont val="Times New Roman"/>
        <family val="1"/>
        <charset val="186"/>
      </rPr>
      <t>. Kopkapitāls ir vienkārši bilances kopsumma.</t>
    </r>
  </si>
  <si>
    <r>
      <t>(Neto peļņa / pašu kapitāla gada vidējā summa) x 100</t>
    </r>
    <r>
      <rPr>
        <sz val="10"/>
        <color indexed="21"/>
        <rFont val="Times New Roman"/>
        <family val="1"/>
        <charset val="186"/>
      </rPr>
      <t>. Rāda, cik daudz peļņas iegūts uz katru īpašnieku ieguldīto latu.No uzņēmuma īpašnieku viedokļa raugoties, tas ir svarīgākais rentabilit. rādītājs. Rādīt.jāvērtē kopsakarībā ar rādītāju "saistību īpatsvars bilncē".</t>
    </r>
  </si>
  <si>
    <r>
      <t>Gada dienas / debit.aprites koefic</t>
    </r>
    <r>
      <rPr>
        <sz val="10"/>
        <color indexed="21"/>
        <rFont val="Times New Roman"/>
        <family val="1"/>
        <charset val="186"/>
      </rPr>
      <t>. (360-365). Cik dienas vidēji paiet no produkcijas realizācijas līdz samaksas saņemšanai. Zems rādītājs raksturo ātru apgrozību.</t>
    </r>
  </si>
  <si>
    <r>
      <t>Gada dienas / kredit.aprites koefic</t>
    </r>
    <r>
      <rPr>
        <sz val="10"/>
        <color indexed="21"/>
        <rFont val="Times New Roman"/>
        <family val="1"/>
        <charset val="186"/>
      </rPr>
      <t>. (360-365). Cik dienas gadā vidēji nepieciešamas, lai samaksātu savus rēķinus.</t>
    </r>
  </si>
  <si>
    <r>
      <t>Neto apgrozījums / nepabeigtie ražojumi</t>
    </r>
    <r>
      <rPr>
        <sz val="10"/>
        <color indexed="21"/>
        <rFont val="Times New Roman"/>
        <family val="1"/>
        <charset val="186"/>
      </rPr>
      <t xml:space="preserve">. </t>
    </r>
  </si>
  <si>
    <r>
      <t>Neto apgrozījums / Gatavā produkcija</t>
    </r>
    <r>
      <rPr>
        <sz val="10"/>
        <color indexed="21"/>
        <rFont val="Times New Roman"/>
        <family val="1"/>
        <charset val="186"/>
      </rPr>
      <t>.</t>
    </r>
  </si>
  <si>
    <r>
      <t>Pircēju parādi / vidēji vienā dienā uz kredīta pārdoto preču summa</t>
    </r>
    <r>
      <rPr>
        <sz val="10"/>
        <color indexed="21"/>
        <rFont val="Times New Roman"/>
        <family val="1"/>
        <charset val="186"/>
      </rPr>
      <t>. Cik dienas vidēji paiet no produkcijas pārdošanas datuma līdz samaksas saņemšanas dienai. Gada pārskats šādu informāciju parasti nesatur, tāpēc var ņemt kopējo neto apgrozījumu dalītu ar gada dienām (360-365).</t>
    </r>
  </si>
  <si>
    <r>
      <t>Neto apgrozījums / aktīvu kopsumma</t>
    </r>
    <r>
      <rPr>
        <sz val="10"/>
        <color indexed="21"/>
        <rFont val="Times New Roman"/>
        <family val="1"/>
        <charset val="186"/>
      </rPr>
      <t>. Rāda, cik efektīvi tiek izmantoti aktīvi neto apgrozījuma veidošanā. Ražošanas uzņēmumā šis rādītājs būs augstāks, kā tirdzniecībā, kur salīdzinoši nav nepieciešamas tik lielas investīcijas. Jo augstāks koeficents,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samazinātvai daļu ilgtermiņa ieguldījumu , vai daļu no apgrozāmiem līdzekļiem.</t>
    </r>
  </si>
  <si>
    <r>
      <t>Pārd.produkc.ražoš.izmaksas / vidējā krājumu summa.</t>
    </r>
    <r>
      <rPr>
        <sz val="10"/>
        <color indexed="21"/>
        <rFont val="Times New Roman"/>
        <family val="1"/>
        <charset val="186"/>
      </rPr>
      <t xml:space="preserve"> Rāda, cik reizes krājumos ieguldītie līdzekļi apritējuši gada laikā. Augsts koeficents liecina par labu uzņēmuma finansiālo stāvokli, jo laba aprite sekmē apgrozījuma apjoma pieaugumu un ļauj gūt lielākus ienākumus. Taču, ja krājumu aprites koeficents ir ievērojami augsts tas saistīts ar krājumu nepietiekamības risku .</t>
    </r>
  </si>
  <si>
    <r>
      <t>Apgrozāmie līdzekļi - īstermiņa saistības</t>
    </r>
    <r>
      <rPr>
        <sz val="10"/>
        <color indexed="21"/>
        <rFont val="Times New Roman"/>
        <family val="1"/>
        <charset val="186"/>
      </rPr>
      <t>. Apgrozāmie līdzekļi jāfinansē ar īstermiņa saistībām.</t>
    </r>
  </si>
  <si>
    <r>
      <t>Saisības / bilances kopsumma</t>
    </r>
    <r>
      <rPr>
        <sz val="10"/>
        <color indexed="21"/>
        <rFont val="Times New Roman"/>
        <family val="1"/>
        <charset val="186"/>
      </rPr>
      <t>.  Finansiālās atkarības koeficents, jo parāda uzņēmuma finansiālo atkarību no kreditoriem (ārējiem līdzekļu avotiem). Kreditori vēlas, lai šis rādītājs būtu zemāks. Augsts rāditājs nozīmē, ka par aizņēmumiem jāmaksā procenti un tad uzņēmums riskē ar iespēju saņemt jaunus kredītus.Dažādu autoru domas dalās par optimālāko šīs attiecības variantu. Viennozīmīgas atbildes nav. Jo augstāka ir pašu kapitāla daļa kopkapitālā, jo agstāka uzņēmuma finansiālā stabilitāte. Ja uzņēmums darbojas paaugstinātas riska pakāpes apstākļos, nepieciešams, lai pašu kaptāls ieņem lielāku daļu kapitāla struktūrā. Lai noteiktu optimālāko varinatu, jāņem vērā gan uzņēmuma rentabilitāte, gan riska viedoklis.</t>
    </r>
  </si>
  <si>
    <r>
      <t>Saisības / pašu kapitāls</t>
    </r>
    <r>
      <rPr>
        <sz val="10"/>
        <color indexed="21"/>
        <rFont val="Times New Roman"/>
        <family val="1"/>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imes New Roman"/>
        <family val="1"/>
        <charset val="186"/>
      </rPr>
      <t>uzņēmuma riska koeficentu</t>
    </r>
    <r>
      <rPr>
        <sz val="10"/>
        <color indexed="21"/>
        <rFont val="Times New Roman"/>
        <family val="1"/>
        <charset val="186"/>
      </rPr>
      <t xml:space="preserve">. </t>
    </r>
  </si>
  <si>
    <r>
      <t>Apgrozāmie līdzekļi - krājumi / īstermiņa saistības</t>
    </r>
    <r>
      <rPr>
        <sz val="10"/>
        <color indexed="21"/>
        <rFont val="Times New Roman"/>
        <family val="1"/>
        <charset val="186"/>
      </rPr>
      <t>. Dod priekšstatu par uzņēmuma saimniec. darbībā iesaistīto aktīvo kapitālu. Rāda kāda ir uzņēmuma spēja atmaksāt īstermiņa saistības, izmantojot naudas līdzekļus, īstermiņa vērtsparpīrus un debitoru parādus (krājumus neņemot vērā). Šis rādīt. vairāk interesē uzņēmuma piegādātājus.  Jāpieiet kritiski, jo uzņēmuma sekmīgas darbības gadā var pieaugt īstermiņa parādi par nodokļiem, kas samazinās koeficenta likviditātes vērtību, bet, samazinoties darba apjomiem, var palielināties gatavās produkcijas krājumi un netikt saņemti debitoru parādi, kas, savukārt, palielina likvid. koeficentu. Likvid. koef. var palielināt arī ilgtermiņa debitori.</t>
    </r>
  </si>
  <si>
    <t xml:space="preserve">Neto apgrozījums / gada vid.aktīvu summa.  </t>
  </si>
  <si>
    <t>Neto peļņa / aktīvu summa x 100.</t>
  </si>
  <si>
    <t>1.1.</t>
  </si>
  <si>
    <t>1.2.</t>
  </si>
  <si>
    <t>1.3.</t>
  </si>
  <si>
    <t>1.4.</t>
  </si>
  <si>
    <t>2.1.</t>
  </si>
  <si>
    <t>2.2.</t>
  </si>
  <si>
    <t>2.3.</t>
  </si>
  <si>
    <t>3.1.</t>
  </si>
  <si>
    <t>3.2.</t>
  </si>
  <si>
    <t>3.3.</t>
  </si>
  <si>
    <t>4.1.</t>
  </si>
  <si>
    <t>4.2.</t>
  </si>
  <si>
    <t>4.3.</t>
  </si>
  <si>
    <t>4.4.</t>
  </si>
  <si>
    <t>4.5.</t>
  </si>
  <si>
    <t>5.1.</t>
  </si>
  <si>
    <t>5.2.</t>
  </si>
  <si>
    <t>5.3.</t>
  </si>
  <si>
    <t>Izmaiņas</t>
  </si>
  <si>
    <r>
      <t>Neto apgrozījums / gada vid.deb.parādi</t>
    </r>
    <r>
      <rPr>
        <sz val="10"/>
        <color indexed="21"/>
        <rFont val="Times New Roman"/>
        <family val="1"/>
        <charset val="186"/>
      </rPr>
      <t>.  Ja koeficents gada laikā samazinās, t.n., ka debitoru parādi ir palielinājušies</t>
    </r>
  </si>
  <si>
    <t>Pašu kop. g.beig. + Pašu kop. g.sāk. / 2.</t>
  </si>
  <si>
    <r>
      <t>Neto apgrozījums / ilgtermiņa ieguldījumi</t>
    </r>
    <r>
      <rPr>
        <sz val="10"/>
        <color indexed="21"/>
        <rFont val="Times New Roman"/>
        <family val="1"/>
        <charset val="186"/>
      </rPr>
      <t>. Rāda, ilgtermiņa ieguldījumu izmantošanas  intensitāti.  Koeficenta līmeņa samazināšanās nozīmē, ka palielinājušies ilgtermiņa ieguldījumi, un to izmantošanas intensitāte samazinājusies.</t>
    </r>
  </si>
  <si>
    <r>
      <t>Apgrozāmie līdzekļi / īstermiņa saistības.</t>
    </r>
    <r>
      <rPr>
        <sz val="10"/>
        <color indexed="21"/>
        <rFont val="Times New Roman"/>
        <family val="1"/>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Koeficents mazāks par "1" var būt briesmu signāls. 2 vai vairāk reizes augstāks rādītājs norāda par neracionālu kapitāla struktūru. Situācija jāuztver arī kritiski un </t>
    </r>
    <r>
      <rPr>
        <u/>
        <sz val="10"/>
        <color indexed="21"/>
        <rFont val="Times New Roman"/>
        <family val="1"/>
        <charset val="186"/>
      </rPr>
      <t>jānovērtē šī koeficenta izmaiņas dinamikā vai jāsalīdzina ar radniecīgu uzņēmumu koef. līmeni vai teorētiski pieņemto un jāanalizē krasu izmaiņu cēloņi.</t>
    </r>
    <r>
      <rPr>
        <sz val="10"/>
        <color indexed="21"/>
        <rFont val="Times New Roman"/>
        <family val="1"/>
        <charset val="186"/>
      </rPr>
      <t xml:space="preserve"> Jānovērtē un jāsalīdzina arī prasību un saistību kārtošanas termiņi, krājumu sastāvs (vai nav nelikvīdi).</t>
    </r>
  </si>
  <si>
    <t>Ilgtermiņa ieguldījumi jāsedz ar pašu kapitālu, jo pašu kapitāls uzņēmuma rīcībā ir neierobežotu laiku, tāpēc ar to jāfinansē ilgtermiņa ieguldījumi.</t>
  </si>
  <si>
    <t>Ilgtermiņa ieguldījumi jāsedz ar pašu kapitālu un ilgtermiņa saistībām, jo pašu kapitāls uzņēmuma rīcībā ir neierobežotu laiku un saistības dzēšamas termiņā ilgākā par vienu gadu, tāpēc ar to jāfinansē ilgtermiņa ieguldījumi.</t>
  </si>
  <si>
    <r>
      <t>Neto apgrozījums / vidējā kredit.parādu summa</t>
    </r>
    <r>
      <rPr>
        <sz val="10"/>
        <color indexed="8"/>
        <rFont val="Times New Roman"/>
        <family val="1"/>
        <charset val="186"/>
      </rPr>
      <t xml:space="preserve">. </t>
    </r>
    <r>
      <rPr>
        <sz val="10"/>
        <color indexed="21"/>
        <rFont val="Times New Roman"/>
        <family val="1"/>
        <charset val="186"/>
      </rPr>
      <t>Rāda cik aprites uzņēmumam nepieciešamas, lai samaksātu savus rēķinus.</t>
    </r>
  </si>
  <si>
    <r>
      <t>Apgrozāmie līdzekļi - īstermiņa saistības</t>
    </r>
    <r>
      <rPr>
        <sz val="10"/>
        <color indexed="21"/>
        <rFont val="Times New Roman"/>
        <family val="1"/>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</si>
  <si>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r>
      <t>Naudas līdzekļi + īstermiņa vērtspapīri  / īstermiņa saistības</t>
    </r>
    <r>
      <rPr>
        <sz val="10"/>
        <color indexed="21"/>
        <rFont val="Times New Roman"/>
        <family val="1"/>
        <charset val="186"/>
      </rPr>
      <t>. Rāda, kāds ir īstermiņa saistību koeficents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</si>
  <si>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r>
      <t>Peļņa pirms %-tu un nodokļu atskaitīšanas / maksājamie procenti</t>
    </r>
    <r>
      <rPr>
        <sz val="10"/>
        <color indexed="21"/>
        <rFont val="Times New Roman"/>
        <family val="1"/>
        <charset val="186"/>
      </rPr>
      <t>. Rāda, cik reizes peļņa, pirms procentu un nodokļu atskaitīšanas, pārsniedz maksājamo procentu summu. Ja maksājamie procenti tiek vairākkārt segti ar peļņu pirms procentu un nodokļu atskaitīšanas, kreditori var būt droši, ka pienākošies procenti tiks samaksāti.</t>
    </r>
  </si>
  <si>
    <t>Kopējie ieņēmumi</t>
  </si>
  <si>
    <t>Kopējās izmaksas</t>
  </si>
  <si>
    <t>2</t>
  </si>
  <si>
    <t>R1</t>
  </si>
  <si>
    <t>R2</t>
  </si>
  <si>
    <t>Invest~Rīga</t>
  </si>
  <si>
    <t>/Klients/</t>
  </si>
  <si>
    <t>/Pārskata periods/</t>
  </si>
  <si>
    <t>/Pakalpojuma veids/</t>
  </si>
  <si>
    <t>/Izpildītājs/</t>
  </si>
  <si>
    <t>/Finansu pārskata joma/</t>
  </si>
  <si>
    <t xml:space="preserve">/Dokumenta Nr./ </t>
  </si>
  <si>
    <t>/Audita uzdevums/</t>
  </si>
  <si>
    <t>/Izpildes laiks faktiski/</t>
  </si>
  <si>
    <t>/Izpildes laiks pēc plāna/</t>
  </si>
  <si>
    <t>/Zvērināts revidents/</t>
  </si>
  <si>
    <t>BILANCE AKTĪVS</t>
  </si>
  <si>
    <t>BILANCE PASĪVS</t>
  </si>
  <si>
    <t xml:space="preserve">Pieaugums % </t>
  </si>
  <si>
    <t>(3./4.x100)</t>
  </si>
  <si>
    <t xml:space="preserve"> (8.-9.)</t>
  </si>
  <si>
    <t xml:space="preserve">Starpība    </t>
  </si>
  <si>
    <t xml:space="preserve"> (3. -4.)</t>
  </si>
  <si>
    <t>Pārskata periods</t>
  </si>
  <si>
    <t>Finanšu analīze</t>
  </si>
  <si>
    <t>Bilances analīze</t>
  </si>
  <si>
    <t>Plānošana</t>
  </si>
  <si>
    <t>Iepriekšējais pārskata gads</t>
  </si>
  <si>
    <t xml:space="preserve">Struktūra </t>
  </si>
  <si>
    <t xml:space="preserve">Struktūras izmaiņas    </t>
  </si>
  <si>
    <t>Analītiskais pārskats</t>
  </si>
  <si>
    <t>(3./4.x100-100)</t>
  </si>
  <si>
    <t>+/ - (4. -5.)</t>
  </si>
  <si>
    <t>Pieaugums % (4./5.*100)</t>
  </si>
  <si>
    <t>Optimālais rādītājs</t>
  </si>
  <si>
    <t>1.1. Kārtējā likviditāte (CR)</t>
  </si>
  <si>
    <t>1.2. Ātrā likviditāte (QR)</t>
  </si>
  <si>
    <t>1≤ CR ≥2</t>
  </si>
  <si>
    <t>0,8≤ QR ≥1,0</t>
  </si>
  <si>
    <t>CR ≥0,2</t>
  </si>
  <si>
    <t>Nav obligātie, bet ieteikums, kā vajadzētu finansēt aktīvus</t>
  </si>
  <si>
    <t>4. LIETIŠĶĀ AKTIVITĀTE</t>
  </si>
  <si>
    <t xml:space="preserve">                                            dienas</t>
  </si>
  <si>
    <t>3 - 3,5</t>
  </si>
  <si>
    <t>4.1. Visu aktīvu aprite (TAT)</t>
  </si>
  <si>
    <t>1,3≤ TAT ≤1,5</t>
  </si>
  <si>
    <t>4.3.  Krājumu aprite koeficents (IT)</t>
  </si>
  <si>
    <t>4.4.Debitoru parādu aprites  koeficents (ART)</t>
  </si>
  <si>
    <t>Salīdz. ar debitoriem</t>
  </si>
  <si>
    <t>2.SAISTĪBU RĀDĪTĀJI</t>
  </si>
  <si>
    <t>2.1. Visu saistību rādītājs (DR)</t>
  </si>
  <si>
    <t>2.3. Peļņa pirms % un nodokļu atkaitīšanas jeb maksājamo procentu seguma koeficents</t>
  </si>
  <si>
    <t>2.2. Saistību attiecība pret pašu kapitālu (DER)</t>
  </si>
  <si>
    <t>5.RENTABILITĀTE (%)</t>
  </si>
  <si>
    <t>5.1. Komerciālā rentabilitāte (RGP)</t>
  </si>
  <si>
    <t>15≤ RGP</t>
  </si>
  <si>
    <t>Bruto peļņas rentabilitāte</t>
  </si>
  <si>
    <t>10≤ ROS</t>
  </si>
  <si>
    <t>5.2. Realizācijas rentabilitāte (ROS)</t>
  </si>
  <si>
    <t>5.3. Ekonomiskā rentabilitāte (ROA)</t>
  </si>
  <si>
    <t>12&lt; ROA &lt;14</t>
  </si>
  <si>
    <t>5.4. Finansiālā rentabilitāte (ROE)</t>
  </si>
  <si>
    <t>Peļņa pirms nodokļiem/aktīvu kopējā summa x 100</t>
  </si>
  <si>
    <t>Nesadalītā peļņa/pašu kapitāls x 100</t>
  </si>
  <si>
    <t>Bruto peļņa/ neto apgrozījums x 100</t>
  </si>
  <si>
    <t>Apgrozāmie līdzekļi / īstermiņa saistības</t>
  </si>
  <si>
    <t>Apgrozāmie līdzekļi - krājumi / īstermiņa saistības</t>
  </si>
  <si>
    <t>Apgrozāmie līdzekļi - (krājumi+debitori) / īstermiņa saistības</t>
  </si>
  <si>
    <t>Apgrozāmie līdzekļi -  īstermiņa saistības</t>
  </si>
  <si>
    <t>Saistības / bilances kopsumma</t>
  </si>
  <si>
    <t>saistības / pašu kapitāls</t>
  </si>
  <si>
    <t>Peļņa pirms procentu un nodokļu atskaitīšanas / maksājamo procentu summa</t>
  </si>
  <si>
    <t>Neto apgrozījums / aktīvu kopsumma</t>
  </si>
  <si>
    <t>Neto apgrozījums / ilgtermiņa ieguldījumi</t>
  </si>
  <si>
    <t>Pārdotās produkcijas raž.izm. / krājumu vid.atlikums</t>
  </si>
  <si>
    <t>4.5. Vidējais prasību samaksas laiks (ACPR)</t>
  </si>
  <si>
    <t>20 dienas</t>
  </si>
  <si>
    <t>Debitoru parādi x 365 / neto apgrozījums</t>
  </si>
  <si>
    <t>Neto apgrozījums / debitoru parādi</t>
  </si>
  <si>
    <t xml:space="preserve">4.6.Kreditoru parādu aprite                   </t>
  </si>
  <si>
    <t>1.3. Absolūtā likviditāte (CAR)</t>
  </si>
  <si>
    <t>jan</t>
  </si>
  <si>
    <t>feb</t>
  </si>
  <si>
    <t>mar</t>
  </si>
  <si>
    <t>apr</t>
  </si>
  <si>
    <t>mai</t>
  </si>
  <si>
    <t>jūn</t>
  </si>
  <si>
    <t>jūl</t>
  </si>
  <si>
    <t>aug</t>
  </si>
  <si>
    <t>sep</t>
  </si>
  <si>
    <t>okt</t>
  </si>
  <si>
    <t>nov</t>
  </si>
  <si>
    <t>dec</t>
  </si>
  <si>
    <t>Kopā</t>
  </si>
  <si>
    <t>31.12.03.</t>
  </si>
  <si>
    <t>31.12.02.</t>
  </si>
  <si>
    <t>izmain.%</t>
  </si>
  <si>
    <t>3.3. Ilgterm. ieguld segums ar pašu kapitālu un ilgterm. saistībām vai tīrie apgrozāmie aktīvi</t>
  </si>
  <si>
    <t>C 0/7.</t>
  </si>
  <si>
    <t>Finanšu rādītāju analīze</t>
  </si>
  <si>
    <t>4.</t>
  </si>
  <si>
    <t>1.4. Tīrie apgrozāmie aktīvi</t>
  </si>
  <si>
    <t>5. Pārējie pamatlīdzekļi un inventārs</t>
  </si>
  <si>
    <t>6. Pamatlīdzekļu izveidošana un nepabeigto celtniecības objektu izmaksas</t>
  </si>
  <si>
    <t>7. Avansa maksājumi pa pamatlīdzekļiem</t>
  </si>
  <si>
    <t xml:space="preserve">Sabiedrības nosaukums </t>
  </si>
  <si>
    <t>Proceūra</t>
  </si>
  <si>
    <t>/Sabiedrības nosaukums/</t>
  </si>
  <si>
    <t>/Procedūras veids/</t>
  </si>
  <si>
    <t>/Procedūras  veids/</t>
  </si>
  <si>
    <t>Peļņas vai zaudējumu aprēķins</t>
  </si>
  <si>
    <t>Pārējie  saimnieciskās darbības ieņēmumi</t>
  </si>
  <si>
    <t>Pārējās saimnieciskās darbības izmaksas</t>
  </si>
  <si>
    <t>Ieņēmumi no līdzdalības koncerna meitas un asociēto sabiedrību kapitālos</t>
  </si>
  <si>
    <t>Pārskata gada peļņa vai zaudējumi pēc nodokļiem</t>
  </si>
  <si>
    <t>1. Attīstības izmaksas</t>
  </si>
  <si>
    <t>4. Nemateriālā vērtība</t>
  </si>
  <si>
    <t>III</t>
  </si>
  <si>
    <t>Ieguldījuma īpašumi</t>
  </si>
  <si>
    <t>IVKOPĀ</t>
  </si>
  <si>
    <t>V Ilgtermiņa finanšu ieguldījumi</t>
  </si>
  <si>
    <t>IV Bioloģiskie aktīvi</t>
  </si>
  <si>
    <t>V KOPĀ</t>
  </si>
  <si>
    <t>1. Līdzdalība radniecisko sabiedrību kapitālā</t>
  </si>
  <si>
    <t>2. Aizdevumi radnieciskajām sabiedrībām</t>
  </si>
  <si>
    <t>3. Līdzdalība asociēto sabiedrību kapitālā</t>
  </si>
  <si>
    <t>4. Aizdevumi asociētajām sabiedrībām</t>
  </si>
  <si>
    <t>8. Aizdevumi akcionāriem vai dalībniekiem un vadībai</t>
  </si>
  <si>
    <t>6. Pārējie aizdevumi un citi ilgtermiņa debitori</t>
  </si>
  <si>
    <t>II</t>
  </si>
  <si>
    <t>Pārdošanai turēti ilgtermiņa ieguldījumi</t>
  </si>
  <si>
    <t>III Debitori</t>
  </si>
  <si>
    <t>V Naudas līdzekļi</t>
  </si>
  <si>
    <t>2. Radniecisko sabiedrību parādi</t>
  </si>
  <si>
    <t>3. Asociēto sabiedrību parādi</t>
  </si>
  <si>
    <t>6. Īstermiņa aizdevumi akcionāriem vai dalībniekiem un vadībai</t>
  </si>
  <si>
    <t>IV Īstermiņa finanšu ieguldījumi</t>
  </si>
  <si>
    <t>1. Līdzdalība radniecīgo sabiedrību kapitālā</t>
  </si>
  <si>
    <t>4. Atvasinātie finanšu instrumenti</t>
  </si>
  <si>
    <t>2. Akciju (daļu) emisijas uzcenojums</t>
  </si>
  <si>
    <t>5. Rezerves:</t>
  </si>
  <si>
    <t>4. Finanšu instrumentu pārvērtēšanas rezerve</t>
  </si>
  <si>
    <t>6. Nesadalītā peļņa:</t>
  </si>
  <si>
    <t>8. Parādi radniecīgajām sabiedrībām</t>
  </si>
  <si>
    <t>9. Parādi asociētajām sabiedrībām</t>
  </si>
  <si>
    <t>13. Neizmaksātās  dividendes</t>
  </si>
  <si>
    <t>10. Nodokļi un sociālās apdrošināšanas obligātās iemaksas</t>
  </si>
  <si>
    <t>14. Uzkrātās saistības</t>
  </si>
  <si>
    <t>15. Atvasinātie finanšu instrumenti</t>
  </si>
  <si>
    <t>8. Atkrīti aktīvi</t>
  </si>
  <si>
    <t>Peļņas vai zaudējumu analīze</t>
  </si>
  <si>
    <t>SIA"Daugavpils autobusu parks"</t>
  </si>
  <si>
    <t>4. Mašīnas</t>
  </si>
  <si>
    <t xml:space="preserve">3. Iekārtas </t>
  </si>
  <si>
    <t>14. Atliktā nodokļa saistības</t>
  </si>
  <si>
    <r>
      <t>(Peļņa pirms procentu / neto apgrozījums) x 100</t>
    </r>
    <r>
      <rPr>
        <sz val="10"/>
        <color indexed="21"/>
        <rFont val="Times New Roman"/>
        <family val="1"/>
        <charset val="186"/>
      </rPr>
      <t>.</t>
    </r>
  </si>
  <si>
    <t>Neto Peļņa /neto apgrozījums x 100</t>
  </si>
  <si>
    <r>
      <t>(Peļņa neto / neto apgrozījums) x 100</t>
    </r>
    <r>
      <rPr>
        <sz val="10"/>
        <color indexed="21"/>
        <rFont val="Times New Roman"/>
        <family val="1"/>
        <charset val="186"/>
      </rPr>
      <t>.</t>
    </r>
  </si>
  <si>
    <t>01.01.-31.12.2017</t>
  </si>
  <si>
    <t>uz 31.12.2017.</t>
  </si>
  <si>
    <t>UIN par pārskata gadu</t>
  </si>
  <si>
    <t>01.01.-31.12.2018</t>
  </si>
  <si>
    <t>uz 31.12.2018.</t>
  </si>
  <si>
    <t>2018. gads</t>
  </si>
  <si>
    <t>2017. gads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</si>
</sst>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0.000"/>
    <numFmt numFmtId="166" formatCode="0.0"/>
    <numFmt numFmtId="167" formatCode="#,##0.0"/>
    <numFmt numFmtId="168" formatCode="d\-mmm\-yy"/>
    <numFmt numFmtId="169" formatCode="#&quot;.&quot;"/>
  </numFmts>
  <fonts count="45" x14ac:knownFonts="1">
    <font>
      <sz val="10"/>
      <name val="Times New Roman"/>
      <charset val="186"/>
    </font>
    <font>
      <sz val="10"/>
      <name val="Times New Roman"/>
      <charset val="186"/>
    </font>
    <font>
      <b/>
      <sz val="10"/>
      <name val="Times New Roman"/>
      <family val="1"/>
      <charset val="186"/>
    </font>
    <font>
      <sz val="10"/>
      <name val="Times New Roman"/>
      <family val="1"/>
      <charset val="186"/>
    </font>
    <font>
      <b/>
      <sz val="11"/>
      <name val="Times New Roman"/>
      <family val="1"/>
      <charset val="186"/>
    </font>
    <font>
      <b/>
      <sz val="9"/>
      <name val="Times New Roman"/>
      <family val="1"/>
      <charset val="186"/>
    </font>
    <font>
      <sz val="9"/>
      <name val="Times New Roman"/>
      <family val="1"/>
      <charset val="186"/>
    </font>
    <font>
      <i/>
      <sz val="9"/>
      <name val="Times New Roman"/>
      <family val="1"/>
      <charset val="186"/>
    </font>
    <font>
      <b/>
      <i/>
      <sz val="9"/>
      <name val="Times New Roman"/>
      <family val="1"/>
      <charset val="186"/>
    </font>
    <font>
      <sz val="9"/>
      <color indexed="10"/>
      <name val="Times New Roman"/>
      <family val="1"/>
      <charset val="186"/>
    </font>
    <font>
      <sz val="9"/>
      <color indexed="21"/>
      <name val="Times New Roman"/>
      <family val="1"/>
      <charset val="186"/>
    </font>
    <font>
      <sz val="10"/>
      <color indexed="21"/>
      <name val="Times New Roman"/>
      <family val="1"/>
      <charset val="186"/>
    </font>
    <font>
      <b/>
      <sz val="12"/>
      <name val="Times New Roman"/>
      <family val="1"/>
      <charset val="186"/>
    </font>
    <font>
      <sz val="12"/>
      <name val="Times New Roman"/>
      <family val="1"/>
      <charset val="186"/>
    </font>
    <font>
      <sz val="9"/>
      <color indexed="8"/>
      <name val="Times New Roman"/>
      <family val="1"/>
      <charset val="186"/>
    </font>
    <font>
      <sz val="10"/>
      <color indexed="10"/>
      <name val="Times New Roman"/>
      <family val="1"/>
      <charset val="186"/>
    </font>
    <font>
      <sz val="8"/>
      <name val="Times New Roman"/>
      <family val="1"/>
      <charset val="186"/>
    </font>
    <font>
      <sz val="10"/>
      <color indexed="8"/>
      <name val="Times New Roman"/>
      <family val="1"/>
      <charset val="186"/>
    </font>
    <font>
      <b/>
      <sz val="10"/>
      <color indexed="21"/>
      <name val="Times New Roman"/>
      <family val="1"/>
      <charset val="186"/>
    </font>
    <font>
      <b/>
      <sz val="10"/>
      <color indexed="10"/>
      <name val="Times New Roman"/>
      <family val="1"/>
      <charset val="186"/>
    </font>
    <font>
      <sz val="11"/>
      <name val="Times New Roman"/>
      <family val="1"/>
      <charset val="186"/>
    </font>
    <font>
      <u/>
      <sz val="10"/>
      <color indexed="21"/>
      <name val="Times New Roman"/>
      <family val="1"/>
      <charset val="186"/>
    </font>
    <font>
      <b/>
      <sz val="10"/>
      <name val="Times New Roman"/>
      <family val="1"/>
    </font>
    <font>
      <u/>
      <sz val="10"/>
      <color indexed="12"/>
      <name val="Times New Roman"/>
      <charset val="186"/>
    </font>
    <font>
      <sz val="11"/>
      <name val="Times New Roman"/>
      <family val="1"/>
    </font>
    <font>
      <b/>
      <i/>
      <sz val="11"/>
      <name val="Times New Roman"/>
      <family val="1"/>
    </font>
    <font>
      <sz val="10"/>
      <name val="Times New Roman"/>
      <family val="1"/>
    </font>
    <font>
      <b/>
      <sz val="15"/>
      <color indexed="18"/>
      <name val="Times New Roman"/>
      <family val="1"/>
    </font>
    <font>
      <b/>
      <i/>
      <sz val="12"/>
      <name val="Times New Roman"/>
      <family val="1"/>
    </font>
    <font>
      <sz val="7"/>
      <name val="Times New Roman"/>
      <family val="1"/>
    </font>
    <font>
      <b/>
      <sz val="12"/>
      <name val="Times New Roman"/>
      <family val="1"/>
    </font>
    <font>
      <b/>
      <sz val="9"/>
      <name val="Times New Roman"/>
      <family val="1"/>
    </font>
    <font>
      <sz val="9"/>
      <name val="Times New Roman"/>
      <family val="1"/>
    </font>
    <font>
      <b/>
      <sz val="14"/>
      <color indexed="10"/>
      <name val="Times New Roman"/>
      <family val="1"/>
    </font>
    <font>
      <i/>
      <sz val="12"/>
      <name val="Times New Roman"/>
      <family val="1"/>
    </font>
    <font>
      <i/>
      <sz val="11"/>
      <color indexed="18"/>
      <name val="Times New Roman"/>
      <family val="1"/>
    </font>
    <font>
      <b/>
      <sz val="10"/>
      <color indexed="10"/>
      <name val="Times New Roman"/>
      <family val="1"/>
    </font>
    <font>
      <sz val="8"/>
      <color indexed="81"/>
      <name val="Tahoma"/>
    </font>
    <font>
      <b/>
      <sz val="10"/>
      <color indexed="18"/>
      <name val="Times New Roman"/>
      <family val="1"/>
    </font>
    <font>
      <sz val="10"/>
      <color indexed="18"/>
      <name val="Times New Roman"/>
      <family val="1"/>
    </font>
    <font>
      <i/>
      <sz val="10"/>
      <name val="Times New Roman"/>
      <family val="1"/>
    </font>
    <font>
      <b/>
      <sz val="14"/>
      <color indexed="18"/>
      <name val="Times New Roman"/>
      <family val="1"/>
    </font>
    <font>
      <b/>
      <sz val="8"/>
      <name val="Times New Roman"/>
      <family val="1"/>
      <charset val="186"/>
    </font>
    <font>
      <sz val="18"/>
      <name val="Times New Roman"/>
      <family val="1"/>
      <charset val="204"/>
    </font>
    <font>
      <b/>
      <sz val="18"/>
      <name val="Times New Roman"/>
      <family val="1"/>
      <charset val="204"/>
    </font>
  </fonts>
  <fills count="9">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double">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608">
    <xf numFmtId="0" fontId="0" fillId="0" borderId="0" xfId="0"/>
    <xf numFmtId="0" fontId="2" fillId="0" borderId="0" xfId="0" applyFont="1"/>
    <xf numFmtId="49" fontId="0" fillId="0" borderId="0" xfId="0" applyNumberFormat="1"/>
    <xf numFmtId="0" fontId="0" fillId="0" borderId="0" xfId="0" applyAlignment="1">
      <alignment vertical="center"/>
    </xf>
    <xf numFmtId="0" fontId="2" fillId="0" borderId="1" xfId="0" applyFont="1" applyBorder="1" applyAlignment="1">
      <alignment horizontal="center" vertical="center" wrapText="1"/>
    </xf>
    <xf numFmtId="0" fontId="3" fillId="0" borderId="0" xfId="0" applyFont="1"/>
    <xf numFmtId="0" fontId="5" fillId="0" borderId="2" xfId="0" applyFont="1" applyBorder="1" applyAlignment="1">
      <alignment vertical="center"/>
    </xf>
    <xf numFmtId="0" fontId="5" fillId="0" borderId="3" xfId="0" applyFont="1" applyBorder="1" applyAlignment="1">
      <alignment vertical="center"/>
    </xf>
    <xf numFmtId="0" fontId="6" fillId="0" borderId="4" xfId="0" applyFont="1" applyBorder="1" applyAlignment="1">
      <alignment vertical="center"/>
    </xf>
    <xf numFmtId="49" fontId="6" fillId="0" borderId="5" xfId="0" applyNumberFormat="1" applyFont="1" applyBorder="1" applyAlignment="1">
      <alignment horizontal="center" vertical="center"/>
    </xf>
    <xf numFmtId="164" fontId="7" fillId="0" borderId="5" xfId="0" applyNumberFormat="1" applyFont="1" applyBorder="1" applyAlignment="1">
      <alignment horizontal="center" vertical="center"/>
    </xf>
    <xf numFmtId="0" fontId="6" fillId="0" borderId="0" xfId="0" applyFont="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6" fillId="0" borderId="7" xfId="0" applyFont="1" applyBorder="1" applyAlignment="1">
      <alignment vertical="center"/>
    </xf>
    <xf numFmtId="49" fontId="6" fillId="0" borderId="8" xfId="0" applyNumberFormat="1" applyFont="1" applyBorder="1" applyAlignment="1">
      <alignment horizontal="center" vertical="center"/>
    </xf>
    <xf numFmtId="164" fontId="7" fillId="0" borderId="8" xfId="0" applyNumberFormat="1"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49" fontId="6" fillId="0" borderId="1" xfId="0" applyNumberFormat="1" applyFont="1" applyBorder="1" applyAlignment="1">
      <alignment horizontal="center"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6" fillId="2" borderId="11" xfId="0" applyFont="1" applyFill="1" applyBorder="1" applyAlignment="1">
      <alignment horizontal="right" vertical="center"/>
    </xf>
    <xf numFmtId="0" fontId="6" fillId="2" borderId="1" xfId="0" applyFont="1" applyFill="1" applyBorder="1" applyAlignment="1">
      <alignment vertical="center"/>
    </xf>
    <xf numFmtId="49" fontId="6" fillId="2" borderId="1" xfId="0" applyNumberFormat="1" applyFont="1" applyFill="1" applyBorder="1" applyAlignment="1">
      <alignment horizontal="center" vertical="center"/>
    </xf>
    <xf numFmtId="0" fontId="6" fillId="0" borderId="11" xfId="0" applyFont="1" applyBorder="1" applyAlignment="1">
      <alignment vertical="center"/>
    </xf>
    <xf numFmtId="0" fontId="6" fillId="2" borderId="11" xfId="0" applyFont="1" applyFill="1" applyBorder="1" applyAlignment="1">
      <alignment vertical="center"/>
    </xf>
    <xf numFmtId="0" fontId="6" fillId="0" borderId="0" xfId="0" applyFont="1" applyBorder="1" applyAlignment="1">
      <alignment vertical="center"/>
    </xf>
    <xf numFmtId="0" fontId="0" fillId="0" borderId="0" xfId="0" applyAlignment="1">
      <alignment horizontal="center"/>
    </xf>
    <xf numFmtId="0" fontId="6" fillId="0" borderId="0" xfId="0" applyFont="1" applyBorder="1" applyAlignment="1">
      <alignment horizontal="center" vertical="center"/>
    </xf>
    <xf numFmtId="0" fontId="3" fillId="0" borderId="0" xfId="0" applyFont="1" applyBorder="1"/>
    <xf numFmtId="0" fontId="0" fillId="0" borderId="0" xfId="0" applyBorder="1"/>
    <xf numFmtId="0" fontId="16" fillId="0" borderId="1" xfId="0" applyFont="1" applyBorder="1" applyAlignment="1">
      <alignment horizontal="center" vertical="center"/>
    </xf>
    <xf numFmtId="0" fontId="16" fillId="0" borderId="0" xfId="0" applyFont="1" applyAlignment="1">
      <alignment horizontal="center"/>
    </xf>
    <xf numFmtId="0" fontId="5" fillId="2" borderId="1" xfId="0" applyFont="1" applyFill="1" applyBorder="1" applyAlignment="1">
      <alignment vertical="center"/>
    </xf>
    <xf numFmtId="0" fontId="16" fillId="0" borderId="0" xfId="0" applyFont="1" applyBorder="1" applyAlignment="1">
      <alignment vertical="center"/>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5" fillId="2" borderId="11" xfId="0" applyFont="1" applyFill="1" applyBorder="1" applyAlignment="1">
      <alignment horizontal="right" vertical="center"/>
    </xf>
    <xf numFmtId="0" fontId="0" fillId="0" borderId="0" xfId="0" applyFill="1"/>
    <xf numFmtId="0" fontId="9" fillId="0" borderId="0" xfId="0" applyFont="1" applyBorder="1" applyAlignment="1">
      <alignment vertical="top" wrapText="1"/>
    </xf>
    <xf numFmtId="0" fontId="10" fillId="0" borderId="0" xfId="0" applyFont="1" applyBorder="1" applyAlignment="1">
      <alignment vertical="top"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17" fillId="3" borderId="12" xfId="0" applyFont="1" applyFill="1" applyBorder="1" applyAlignment="1">
      <alignment horizontal="center" vertical="center"/>
    </xf>
    <xf numFmtId="0" fontId="4" fillId="0" borderId="0" xfId="0" applyFont="1" applyFill="1" applyBorder="1" applyAlignment="1">
      <alignment horizontal="center" vertical="center" wrapText="1"/>
    </xf>
    <xf numFmtId="3" fontId="8" fillId="2" borderId="1" xfId="0" applyNumberFormat="1" applyFont="1" applyFill="1" applyBorder="1" applyAlignment="1">
      <alignment horizontal="right" vertical="center"/>
    </xf>
    <xf numFmtId="0" fontId="2" fillId="0" borderId="2" xfId="0" applyFont="1" applyBorder="1" applyAlignment="1">
      <alignment horizontal="center" vertical="center"/>
    </xf>
    <xf numFmtId="0" fontId="0" fillId="4" borderId="13" xfId="0" applyFill="1" applyBorder="1" applyAlignment="1"/>
    <xf numFmtId="0" fontId="2" fillId="0" borderId="2" xfId="0" applyFont="1" applyBorder="1" applyAlignment="1">
      <alignment horizontal="center" vertical="center" wrapText="1"/>
    </xf>
    <xf numFmtId="0" fontId="4" fillId="4" borderId="14" xfId="0" applyFont="1" applyFill="1" applyBorder="1" applyAlignment="1">
      <alignment horizontal="center" vertical="center" wrapText="1"/>
    </xf>
    <xf numFmtId="4"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2" fontId="3"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3" fontId="17" fillId="3" borderId="15" xfId="0" applyNumberFormat="1" applyFont="1" applyFill="1" applyBorder="1" applyAlignment="1">
      <alignment horizontal="center" vertical="center"/>
    </xf>
    <xf numFmtId="1" fontId="17" fillId="3" borderId="15" xfId="0" applyNumberFormat="1" applyFont="1" applyFill="1" applyBorder="1" applyAlignment="1">
      <alignment horizontal="center" vertical="center"/>
    </xf>
    <xf numFmtId="0" fontId="3" fillId="5" borderId="0" xfId="0" applyFont="1" applyFill="1"/>
    <xf numFmtId="0" fontId="3" fillId="0" borderId="0" xfId="0" applyFont="1" applyFill="1"/>
    <xf numFmtId="3" fontId="17" fillId="0" borderId="8" xfId="0" applyNumberFormat="1" applyFont="1" applyFill="1" applyBorder="1" applyAlignment="1">
      <alignment horizontal="center" vertical="center"/>
    </xf>
    <xf numFmtId="1" fontId="17" fillId="0" borderId="8" xfId="0" applyNumberFormat="1" applyFont="1" applyFill="1" applyBorder="1" applyAlignment="1">
      <alignment horizontal="center" vertical="center"/>
    </xf>
    <xf numFmtId="3" fontId="3" fillId="3" borderId="16" xfId="0" applyNumberFormat="1" applyFont="1" applyFill="1" applyBorder="1" applyAlignment="1">
      <alignment horizontal="center" vertical="center"/>
    </xf>
    <xf numFmtId="0" fontId="3" fillId="3" borderId="16" xfId="0" applyFont="1" applyFill="1" applyBorder="1" applyAlignment="1">
      <alignment horizontal="center" vertical="center"/>
    </xf>
    <xf numFmtId="3" fontId="3" fillId="3" borderId="15"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49" fontId="3" fillId="0" borderId="17" xfId="0" applyNumberFormat="1" applyFont="1" applyBorder="1" applyAlignment="1">
      <alignment horizontal="center" vertical="center" wrapText="1"/>
    </xf>
    <xf numFmtId="0" fontId="0" fillId="0" borderId="0" xfId="0" applyAlignment="1">
      <alignment wrapText="1"/>
    </xf>
    <xf numFmtId="49" fontId="3" fillId="0" borderId="1" xfId="0" applyNumberFormat="1" applyFont="1" applyBorder="1" applyAlignment="1">
      <alignment horizontal="center" vertical="center" wrapText="1"/>
    </xf>
    <xf numFmtId="49" fontId="0" fillId="0" borderId="0" xfId="0" applyNumberFormat="1" applyAlignment="1">
      <alignment wrapText="1"/>
    </xf>
    <xf numFmtId="0" fontId="6" fillId="0" borderId="0" xfId="0" applyFont="1" applyBorder="1" applyAlignment="1">
      <alignment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15" xfId="0" applyFont="1" applyBorder="1" applyAlignment="1">
      <alignment horizontal="left" vertical="top" wrapText="1"/>
    </xf>
    <xf numFmtId="0" fontId="4"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1" fillId="0" borderId="1" xfId="0" applyFont="1" applyBorder="1" applyAlignment="1">
      <alignment vertical="top" wrapText="1"/>
    </xf>
    <xf numFmtId="0" fontId="2" fillId="4" borderId="13" xfId="0" applyFont="1" applyFill="1" applyBorder="1" applyAlignment="1">
      <alignment horizontal="center" vertical="center" wrapText="1"/>
    </xf>
    <xf numFmtId="0" fontId="15" fillId="0" borderId="15" xfId="0" applyFont="1" applyBorder="1" applyAlignment="1">
      <alignment vertical="top" wrapText="1"/>
    </xf>
    <xf numFmtId="0" fontId="15" fillId="0" borderId="5" xfId="0" applyFont="1" applyBorder="1" applyAlignment="1">
      <alignment horizontal="left" vertical="top" wrapText="1"/>
    </xf>
    <xf numFmtId="0" fontId="15" fillId="0" borderId="15" xfId="0" applyFont="1" applyBorder="1" applyAlignment="1">
      <alignment vertical="center" wrapText="1"/>
    </xf>
    <xf numFmtId="0" fontId="15" fillId="0" borderId="1" xfId="0" applyFont="1" applyBorder="1" applyAlignment="1">
      <alignment vertical="center" wrapText="1"/>
    </xf>
    <xf numFmtId="0" fontId="15" fillId="0" borderId="11" xfId="0" applyFont="1" applyBorder="1" applyAlignment="1">
      <alignment horizontal="left" vertical="top" wrapText="1"/>
    </xf>
    <xf numFmtId="0" fontId="15" fillId="0" borderId="7" xfId="0" applyFont="1" applyBorder="1" applyAlignment="1">
      <alignment horizontal="left" vertical="top" wrapText="1"/>
    </xf>
    <xf numFmtId="0" fontId="17" fillId="3" borderId="21" xfId="0" applyFont="1" applyFill="1" applyBorder="1" applyAlignment="1">
      <alignment vertical="center" wrapText="1"/>
    </xf>
    <xf numFmtId="0" fontId="15" fillId="0" borderId="4" xfId="0" applyFont="1" applyBorder="1" applyAlignment="1">
      <alignment horizontal="left" vertical="top" wrapText="1"/>
    </xf>
    <xf numFmtId="0" fontId="15" fillId="0" borderId="11" xfId="0" applyFont="1" applyFill="1" applyBorder="1" applyAlignment="1">
      <alignment vertical="center" wrapText="1"/>
    </xf>
    <xf numFmtId="0" fontId="15" fillId="0" borderId="4" xfId="0" applyFont="1" applyFill="1" applyBorder="1" applyAlignment="1">
      <alignment vertical="center" wrapText="1"/>
    </xf>
    <xf numFmtId="0" fontId="17" fillId="3" borderId="15" xfId="0" applyFont="1" applyFill="1" applyBorder="1" applyAlignment="1">
      <alignment vertical="center" wrapText="1"/>
    </xf>
    <xf numFmtId="0" fontId="15" fillId="0" borderId="8" xfId="0" applyFont="1" applyBorder="1" applyAlignment="1">
      <alignment horizontal="left" vertical="top" wrapText="1"/>
    </xf>
    <xf numFmtId="0" fontId="11" fillId="0" borderId="11" xfId="0" applyFont="1" applyBorder="1" applyAlignment="1">
      <alignment vertical="center" wrapText="1"/>
    </xf>
    <xf numFmtId="0" fontId="15" fillId="0" borderId="11" xfId="0" applyFont="1" applyBorder="1" applyAlignment="1">
      <alignment vertical="center" wrapText="1"/>
    </xf>
    <xf numFmtId="0" fontId="15" fillId="0" borderId="4" xfId="0" applyFont="1" applyBorder="1" applyAlignment="1">
      <alignment vertical="center" wrapText="1"/>
    </xf>
    <xf numFmtId="0" fontId="0" fillId="0" borderId="6" xfId="0" applyBorder="1" applyAlignment="1">
      <alignment vertical="top" wrapText="1"/>
    </xf>
    <xf numFmtId="0" fontId="0" fillId="0" borderId="18" xfId="0" applyBorder="1" applyAlignment="1">
      <alignment vertical="top" wrapText="1"/>
    </xf>
    <xf numFmtId="0" fontId="17" fillId="3" borderId="15" xfId="0" applyFont="1" applyFill="1" applyBorder="1" applyAlignment="1">
      <alignment vertical="top" wrapText="1"/>
    </xf>
    <xf numFmtId="0" fontId="11" fillId="0" borderId="21" xfId="0" applyFont="1" applyBorder="1" applyAlignment="1">
      <alignment vertical="center" wrapText="1"/>
    </xf>
    <xf numFmtId="14" fontId="2" fillId="0" borderId="1" xfId="0" applyNumberFormat="1" applyFont="1" applyBorder="1" applyAlignment="1">
      <alignment horizontal="center" vertical="center" wrapText="1"/>
    </xf>
    <xf numFmtId="0" fontId="0" fillId="0" borderId="0" xfId="0" applyAlignment="1">
      <alignment vertical="top"/>
    </xf>
    <xf numFmtId="3" fontId="3" fillId="0" borderId="5" xfId="0" applyNumberFormat="1" applyFont="1" applyBorder="1" applyAlignment="1">
      <alignment horizontal="center" vertical="center"/>
    </xf>
    <xf numFmtId="3" fontId="8" fillId="2" borderId="1" xfId="0" applyNumberFormat="1" applyFont="1" applyFill="1" applyBorder="1" applyAlignment="1">
      <alignment vertical="center"/>
    </xf>
    <xf numFmtId="3" fontId="7" fillId="0" borderId="5" xfId="0" applyNumberFormat="1" applyFont="1" applyBorder="1" applyAlignment="1">
      <alignment horizontal="right" vertical="center"/>
    </xf>
    <xf numFmtId="3" fontId="7" fillId="0" borderId="5" xfId="0" applyNumberFormat="1" applyFont="1" applyBorder="1" applyAlignment="1">
      <alignment vertical="center"/>
    </xf>
    <xf numFmtId="3" fontId="7" fillId="0" borderId="1" xfId="0" applyNumberFormat="1" applyFont="1" applyBorder="1" applyAlignment="1">
      <alignment vertical="center"/>
    </xf>
    <xf numFmtId="0" fontId="5" fillId="0" borderId="22" xfId="0" applyFont="1" applyBorder="1" applyAlignment="1">
      <alignment vertical="top" wrapText="1"/>
    </xf>
    <xf numFmtId="0" fontId="5" fillId="0" borderId="23" xfId="0" applyFont="1" applyBorder="1" applyAlignment="1">
      <alignment vertical="top" wrapText="1"/>
    </xf>
    <xf numFmtId="0" fontId="6" fillId="0" borderId="24" xfId="0" applyFont="1" applyBorder="1" applyAlignment="1">
      <alignment vertical="top" wrapText="1"/>
    </xf>
    <xf numFmtId="49" fontId="6" fillId="0" borderId="25" xfId="0" applyNumberFormat="1" applyFont="1" applyBorder="1" applyAlignment="1">
      <alignment horizontal="center" vertical="top" wrapText="1"/>
    </xf>
    <xf numFmtId="3" fontId="7" fillId="0" borderId="25" xfId="0" applyNumberFormat="1" applyFont="1" applyBorder="1" applyAlignment="1">
      <alignment vertical="top" wrapText="1"/>
    </xf>
    <xf numFmtId="0" fontId="6" fillId="0" borderId="0" xfId="0" applyFont="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6" fillId="0" borderId="28" xfId="0" applyFont="1" applyBorder="1" applyAlignment="1">
      <alignment vertical="top" wrapText="1"/>
    </xf>
    <xf numFmtId="49" fontId="6" fillId="0" borderId="29" xfId="0" applyNumberFormat="1" applyFont="1" applyBorder="1" applyAlignment="1">
      <alignment horizontal="center" vertical="top" wrapText="1"/>
    </xf>
    <xf numFmtId="3" fontId="7" fillId="0" borderId="29" xfId="0" applyNumberFormat="1" applyFont="1" applyBorder="1" applyAlignment="1">
      <alignment vertical="top" wrapText="1"/>
    </xf>
    <xf numFmtId="0" fontId="5" fillId="0" borderId="18" xfId="0" applyFont="1" applyBorder="1" applyAlignment="1">
      <alignment vertical="top" wrapText="1"/>
    </xf>
    <xf numFmtId="0" fontId="5" fillId="0" borderId="30" xfId="0" applyFont="1" applyBorder="1" applyAlignment="1">
      <alignment vertical="top" wrapText="1"/>
    </xf>
    <xf numFmtId="0" fontId="6" fillId="0" borderId="21" xfId="0" applyFont="1" applyBorder="1" applyAlignment="1">
      <alignment vertical="top" wrapText="1"/>
    </xf>
    <xf numFmtId="49" fontId="6" fillId="0" borderId="15" xfId="0" applyNumberFormat="1" applyFont="1" applyBorder="1" applyAlignment="1">
      <alignment horizontal="center" vertical="top" wrapText="1"/>
    </xf>
    <xf numFmtId="3" fontId="7" fillId="0" borderId="15" xfId="0" applyNumberFormat="1" applyFont="1" applyBorder="1" applyAlignment="1">
      <alignment vertical="top" wrapText="1"/>
    </xf>
    <xf numFmtId="0" fontId="2" fillId="6" borderId="1" xfId="0" applyFont="1" applyFill="1" applyBorder="1" applyAlignment="1">
      <alignment horizontal="center" vertical="center" wrapText="1"/>
    </xf>
    <xf numFmtId="0" fontId="6" fillId="6" borderId="25" xfId="0" applyFont="1" applyFill="1" applyBorder="1" applyAlignment="1">
      <alignment vertical="center"/>
    </xf>
    <xf numFmtId="0" fontId="6" fillId="6" borderId="29" xfId="0" applyFont="1" applyFill="1" applyBorder="1" applyAlignment="1">
      <alignment vertical="center"/>
    </xf>
    <xf numFmtId="3" fontId="6" fillId="6" borderId="29" xfId="0" applyNumberFormat="1" applyFont="1" applyFill="1" applyBorder="1" applyAlignment="1">
      <alignment vertical="center"/>
    </xf>
    <xf numFmtId="3" fontId="6" fillId="6" borderId="1" xfId="0" applyNumberFormat="1" applyFont="1" applyFill="1" applyBorder="1" applyAlignment="1">
      <alignment vertical="center"/>
    </xf>
    <xf numFmtId="3" fontId="6" fillId="6" borderId="31" xfId="0" applyNumberFormat="1" applyFont="1" applyFill="1" applyBorder="1" applyAlignment="1">
      <alignment vertical="center"/>
    </xf>
    <xf numFmtId="3" fontId="6" fillId="6" borderId="29" xfId="0" applyNumberFormat="1" applyFont="1" applyFill="1" applyBorder="1" applyAlignment="1">
      <alignment vertical="top" wrapText="1"/>
    </xf>
    <xf numFmtId="3" fontId="6" fillId="6" borderId="32" xfId="0" applyNumberFormat="1" applyFont="1" applyFill="1" applyBorder="1" applyAlignment="1">
      <alignment vertical="top" wrapText="1"/>
    </xf>
    <xf numFmtId="166" fontId="6" fillId="6" borderId="33" xfId="0" applyNumberFormat="1" applyFont="1" applyFill="1" applyBorder="1" applyAlignment="1">
      <alignment vertical="center"/>
    </xf>
    <xf numFmtId="0" fontId="6" fillId="6" borderId="34" xfId="0" applyFont="1" applyFill="1" applyBorder="1" applyAlignment="1">
      <alignment vertical="center"/>
    </xf>
    <xf numFmtId="166" fontId="6" fillId="6" borderId="35" xfId="0" applyNumberFormat="1" applyFont="1" applyFill="1" applyBorder="1" applyAlignment="1">
      <alignment vertical="center"/>
    </xf>
    <xf numFmtId="0" fontId="6" fillId="6" borderId="36" xfId="0" applyFont="1" applyFill="1" applyBorder="1" applyAlignment="1">
      <alignment vertical="center"/>
    </xf>
    <xf numFmtId="166" fontId="6" fillId="6" borderId="35" xfId="0" applyNumberFormat="1" applyFont="1" applyFill="1" applyBorder="1" applyAlignment="1">
      <alignment vertical="top" wrapText="1"/>
    </xf>
    <xf numFmtId="10" fontId="6" fillId="6" borderId="36" xfId="2" applyNumberFormat="1" applyFont="1" applyFill="1" applyBorder="1" applyAlignment="1">
      <alignment vertical="center"/>
    </xf>
    <xf numFmtId="3" fontId="6" fillId="2" borderId="1" xfId="0" applyNumberFormat="1" applyFont="1" applyFill="1" applyBorder="1" applyAlignment="1">
      <alignment vertical="center"/>
    </xf>
    <xf numFmtId="166" fontId="6" fillId="2" borderId="35" xfId="0" applyNumberFormat="1" applyFont="1" applyFill="1" applyBorder="1" applyAlignment="1">
      <alignment vertical="center"/>
    </xf>
    <xf numFmtId="10" fontId="6" fillId="2" borderId="36" xfId="2" applyNumberFormat="1" applyFont="1" applyFill="1" applyBorder="1" applyAlignment="1">
      <alignment vertical="center"/>
    </xf>
    <xf numFmtId="10" fontId="6" fillId="2" borderId="36" xfId="0" applyNumberFormat="1" applyFont="1" applyFill="1" applyBorder="1" applyAlignment="1">
      <alignment vertical="center"/>
    </xf>
    <xf numFmtId="166" fontId="6" fillId="2" borderId="1" xfId="0" applyNumberFormat="1" applyFont="1" applyFill="1" applyBorder="1" applyAlignment="1">
      <alignment vertical="center"/>
    </xf>
    <xf numFmtId="10" fontId="6" fillId="2" borderId="1" xfId="2" applyNumberFormat="1" applyFont="1" applyFill="1" applyBorder="1" applyAlignment="1">
      <alignment vertical="center"/>
    </xf>
    <xf numFmtId="10" fontId="6" fillId="6" borderId="37" xfId="2" applyNumberFormat="1" applyFont="1" applyFill="1" applyBorder="1" applyAlignment="1">
      <alignment vertical="center"/>
    </xf>
    <xf numFmtId="166" fontId="6" fillId="6" borderId="36" xfId="0" applyNumberFormat="1" applyFont="1" applyFill="1" applyBorder="1" applyAlignment="1">
      <alignment vertical="top" wrapText="1"/>
    </xf>
    <xf numFmtId="3" fontId="6" fillId="6" borderId="38" xfId="0" applyNumberFormat="1" applyFont="1" applyFill="1" applyBorder="1" applyAlignment="1">
      <alignment vertical="center"/>
    </xf>
    <xf numFmtId="166" fontId="6" fillId="6" borderId="39" xfId="0" applyNumberFormat="1" applyFont="1" applyFill="1" applyBorder="1" applyAlignment="1">
      <alignment vertical="center"/>
    </xf>
    <xf numFmtId="10" fontId="6" fillId="6" borderId="39" xfId="2" applyNumberFormat="1" applyFont="1" applyFill="1" applyBorder="1" applyAlignment="1">
      <alignment vertical="center"/>
    </xf>
    <xf numFmtId="0" fontId="24" fillId="0" borderId="0" xfId="0" applyFont="1"/>
    <xf numFmtId="0" fontId="6" fillId="0" borderId="40" xfId="0" applyFont="1" applyFill="1" applyBorder="1" applyAlignment="1">
      <alignment horizontal="right" vertical="center"/>
    </xf>
    <xf numFmtId="3" fontId="0" fillId="0" borderId="40" xfId="0" applyNumberFormat="1" applyBorder="1"/>
    <xf numFmtId="0" fontId="0" fillId="0" borderId="41" xfId="0" applyBorder="1" applyAlignment="1">
      <alignment horizontal="right"/>
    </xf>
    <xf numFmtId="3" fontId="0" fillId="0" borderId="41" xfId="0" applyNumberFormat="1" applyBorder="1"/>
    <xf numFmtId="0" fontId="0" fillId="0" borderId="42" xfId="0" applyBorder="1"/>
    <xf numFmtId="0" fontId="0" fillId="0" borderId="43" xfId="0" applyBorder="1"/>
    <xf numFmtId="0" fontId="5" fillId="0" borderId="31" xfId="0" applyFont="1" applyBorder="1" applyAlignment="1">
      <alignment vertical="center" wrapText="1"/>
    </xf>
    <xf numFmtId="0" fontId="6" fillId="0" borderId="31" xfId="0" applyFont="1" applyBorder="1" applyAlignment="1">
      <alignment vertical="center" wrapText="1"/>
    </xf>
    <xf numFmtId="49" fontId="6" fillId="0" borderId="31" xfId="0" applyNumberFormat="1" applyFont="1" applyBorder="1" applyAlignment="1">
      <alignment horizontal="center" vertical="center" wrapText="1"/>
    </xf>
    <xf numFmtId="10" fontId="6" fillId="6" borderId="36" xfId="2" applyNumberFormat="1" applyFont="1" applyFill="1" applyBorder="1" applyAlignment="1">
      <alignment vertical="center" wrapText="1"/>
    </xf>
    <xf numFmtId="0" fontId="5" fillId="0" borderId="29" xfId="0" applyFont="1" applyBorder="1" applyAlignment="1">
      <alignment vertical="center" wrapText="1"/>
    </xf>
    <xf numFmtId="0" fontId="6" fillId="0" borderId="29" xfId="0" applyFont="1" applyBorder="1" applyAlignment="1">
      <alignment vertical="center" wrapText="1"/>
    </xf>
    <xf numFmtId="49" fontId="6" fillId="0" borderId="29" xfId="0" applyNumberFormat="1" applyFont="1" applyBorder="1" applyAlignment="1">
      <alignment horizontal="center" vertical="center" wrapText="1"/>
    </xf>
    <xf numFmtId="3" fontId="7" fillId="0" borderId="29" xfId="0" applyNumberFormat="1" applyFont="1" applyBorder="1" applyAlignment="1">
      <alignment horizontal="center" vertical="center" wrapText="1"/>
    </xf>
    <xf numFmtId="3" fontId="6" fillId="6" borderId="35" xfId="0" applyNumberFormat="1" applyFont="1" applyFill="1" applyBorder="1" applyAlignment="1">
      <alignment vertical="center" wrapText="1"/>
    </xf>
    <xf numFmtId="166" fontId="6" fillId="6" borderId="36" xfId="0" applyNumberFormat="1" applyFont="1" applyFill="1" applyBorder="1" applyAlignment="1">
      <alignment vertical="center" wrapText="1"/>
    </xf>
    <xf numFmtId="10" fontId="6" fillId="6" borderId="35" xfId="2" applyNumberFormat="1" applyFont="1" applyFill="1" applyBorder="1" applyAlignment="1">
      <alignment vertical="center" wrapText="1"/>
    </xf>
    <xf numFmtId="10" fontId="6" fillId="6" borderId="44" xfId="2" applyNumberFormat="1" applyFont="1" applyFill="1" applyBorder="1" applyAlignment="1">
      <alignment vertical="center" wrapText="1"/>
    </xf>
    <xf numFmtId="0" fontId="5" fillId="0" borderId="32" xfId="0" applyFont="1" applyBorder="1" applyAlignment="1">
      <alignment vertical="center" wrapText="1"/>
    </xf>
    <xf numFmtId="0" fontId="6" fillId="0" borderId="32" xfId="0" applyFont="1" applyBorder="1" applyAlignment="1">
      <alignment vertical="center" wrapText="1"/>
    </xf>
    <xf numFmtId="49" fontId="6" fillId="0" borderId="32" xfId="0" applyNumberFormat="1" applyFont="1" applyBorder="1" applyAlignment="1">
      <alignment horizontal="center" vertical="center" wrapText="1"/>
    </xf>
    <xf numFmtId="3" fontId="6" fillId="6" borderId="45" xfId="0" applyNumberFormat="1" applyFont="1" applyFill="1" applyBorder="1" applyAlignment="1">
      <alignment vertical="center" wrapText="1"/>
    </xf>
    <xf numFmtId="10" fontId="6" fillId="6" borderId="37" xfId="2" applyNumberFormat="1"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right" vertical="center" wrapText="1"/>
    </xf>
    <xf numFmtId="49" fontId="6" fillId="2" borderId="1" xfId="0" applyNumberFormat="1" applyFont="1" applyFill="1" applyBorder="1" applyAlignment="1">
      <alignment horizontal="center" vertical="center" wrapText="1"/>
    </xf>
    <xf numFmtId="3" fontId="6" fillId="2" borderId="46" xfId="0" applyNumberFormat="1" applyFont="1" applyFill="1" applyBorder="1" applyAlignment="1">
      <alignment vertical="center" wrapText="1"/>
    </xf>
    <xf numFmtId="166" fontId="6" fillId="2" borderId="47" xfId="0" applyNumberFormat="1" applyFont="1" applyFill="1" applyBorder="1" applyAlignment="1">
      <alignment vertical="center" wrapText="1"/>
    </xf>
    <xf numFmtId="10" fontId="6" fillId="2" borderId="46" xfId="2" applyNumberFormat="1" applyFont="1" applyFill="1" applyBorder="1" applyAlignment="1">
      <alignment vertical="center" wrapText="1"/>
    </xf>
    <xf numFmtId="10" fontId="6" fillId="2" borderId="47" xfId="2" applyNumberFormat="1" applyFont="1" applyFill="1" applyBorder="1" applyAlignment="1">
      <alignment vertical="center" wrapText="1"/>
    </xf>
    <xf numFmtId="3" fontId="6" fillId="6" borderId="38" xfId="0" applyNumberFormat="1" applyFont="1" applyFill="1" applyBorder="1" applyAlignment="1">
      <alignment vertical="center" wrapText="1"/>
    </xf>
    <xf numFmtId="166" fontId="6" fillId="6" borderId="39" xfId="0" applyNumberFormat="1" applyFont="1" applyFill="1" applyBorder="1" applyAlignment="1">
      <alignment vertical="center" wrapText="1"/>
    </xf>
    <xf numFmtId="10" fontId="6" fillId="6" borderId="39" xfId="2" applyNumberFormat="1" applyFont="1" applyFill="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3" fontId="6" fillId="2" borderId="1" xfId="0" applyNumberFormat="1" applyFont="1" applyFill="1" applyBorder="1" applyAlignment="1">
      <alignment vertical="center" wrapText="1"/>
    </xf>
    <xf numFmtId="166" fontId="6" fillId="2" borderId="1" xfId="0" applyNumberFormat="1" applyFont="1" applyFill="1" applyBorder="1" applyAlignment="1">
      <alignment vertical="center" wrapText="1"/>
    </xf>
    <xf numFmtId="10" fontId="6" fillId="2" borderId="1" xfId="2" applyNumberFormat="1" applyFont="1" applyFill="1" applyBorder="1" applyAlignment="1">
      <alignment vertical="center" wrapText="1"/>
    </xf>
    <xf numFmtId="3" fontId="7" fillId="0" borderId="29" xfId="0" applyNumberFormat="1" applyFont="1" applyBorder="1" applyAlignment="1">
      <alignment horizontal="right" vertical="center" wrapText="1"/>
    </xf>
    <xf numFmtId="3" fontId="7" fillId="0" borderId="29" xfId="0" applyNumberFormat="1" applyFont="1" applyBorder="1" applyAlignment="1">
      <alignment vertical="center" wrapText="1"/>
    </xf>
    <xf numFmtId="3" fontId="7" fillId="0" borderId="32" xfId="0" applyNumberFormat="1" applyFont="1" applyBorder="1" applyAlignment="1">
      <alignment vertical="center" wrapText="1"/>
    </xf>
    <xf numFmtId="3" fontId="8" fillId="2" borderId="1" xfId="0" applyNumberFormat="1" applyFont="1" applyFill="1" applyBorder="1" applyAlignment="1">
      <alignment vertical="center" wrapText="1"/>
    </xf>
    <xf numFmtId="3" fontId="8" fillId="2" borderId="1" xfId="0" applyNumberFormat="1" applyFont="1" applyFill="1" applyBorder="1" applyAlignment="1">
      <alignment horizontal="right" vertical="center" wrapText="1"/>
    </xf>
    <xf numFmtId="3" fontId="7" fillId="0" borderId="32" xfId="0" applyNumberFormat="1" applyFont="1" applyBorder="1" applyAlignment="1">
      <alignment horizontal="right" vertical="center" wrapText="1"/>
    </xf>
    <xf numFmtId="3" fontId="7" fillId="2" borderId="1" xfId="0" applyNumberFormat="1" applyFont="1" applyFill="1" applyBorder="1" applyAlignment="1">
      <alignment vertical="center"/>
    </xf>
    <xf numFmtId="3" fontId="7" fillId="0" borderId="8" xfId="0" applyNumberFormat="1" applyFont="1" applyBorder="1" applyAlignment="1">
      <alignment vertical="center"/>
    </xf>
    <xf numFmtId="0" fontId="3" fillId="0" borderId="8" xfId="0" applyFont="1" applyBorder="1" applyAlignment="1">
      <alignment horizontal="right" vertical="center" wrapText="1"/>
    </xf>
    <xf numFmtId="0" fontId="26" fillId="0" borderId="0" xfId="0" applyFont="1"/>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9" xfId="0" applyFont="1" applyBorder="1" applyAlignment="1">
      <alignment horizontal="center" vertical="center"/>
    </xf>
    <xf numFmtId="0" fontId="16" fillId="0" borderId="11" xfId="0" applyFont="1" applyBorder="1" applyAlignment="1">
      <alignment horizontal="center" vertical="center"/>
    </xf>
    <xf numFmtId="3" fontId="7" fillId="0" borderId="25" xfId="0" applyNumberFormat="1" applyFont="1" applyBorder="1" applyAlignment="1">
      <alignment horizontal="center" vertical="top" wrapText="1"/>
    </xf>
    <xf numFmtId="10" fontId="6" fillId="6" borderId="36" xfId="2" applyNumberFormat="1" applyFont="1" applyFill="1" applyBorder="1" applyAlignment="1">
      <alignment vertical="top" wrapText="1"/>
    </xf>
    <xf numFmtId="3" fontId="7" fillId="0" borderId="29" xfId="0" applyNumberFormat="1" applyFont="1" applyBorder="1" applyAlignment="1">
      <alignment horizontal="right" vertical="top" wrapText="1"/>
    </xf>
    <xf numFmtId="3" fontId="7" fillId="0" borderId="25" xfId="0" applyNumberFormat="1" applyFont="1" applyBorder="1" applyAlignment="1">
      <alignment horizontal="right" vertical="top" wrapText="1"/>
    </xf>
    <xf numFmtId="0" fontId="5" fillId="0" borderId="48" xfId="0" applyFont="1" applyBorder="1" applyAlignment="1">
      <alignment vertical="top" wrapText="1"/>
    </xf>
    <xf numFmtId="0" fontId="5" fillId="0" borderId="49" xfId="0" applyFont="1" applyBorder="1" applyAlignment="1">
      <alignment vertical="top" wrapText="1"/>
    </xf>
    <xf numFmtId="0" fontId="6" fillId="0" borderId="50" xfId="0" applyFont="1" applyBorder="1" applyAlignment="1">
      <alignment vertical="top" wrapText="1"/>
    </xf>
    <xf numFmtId="49" fontId="6" fillId="0" borderId="51" xfId="0" applyNumberFormat="1" applyFont="1" applyBorder="1" applyAlignment="1">
      <alignment horizontal="center" vertical="top" wrapText="1"/>
    </xf>
    <xf numFmtId="3" fontId="7" fillId="0" borderId="51" xfId="0" applyNumberFormat="1" applyFont="1" applyBorder="1" applyAlignment="1">
      <alignment vertical="top" wrapText="1"/>
    </xf>
    <xf numFmtId="0" fontId="26" fillId="0" borderId="0" xfId="0" applyFont="1" applyAlignment="1">
      <alignment vertical="top" wrapText="1"/>
    </xf>
    <xf numFmtId="0" fontId="22" fillId="0" borderId="1" xfId="0" applyFont="1" applyBorder="1" applyAlignment="1">
      <alignment vertical="top" wrapText="1"/>
    </xf>
    <xf numFmtId="0" fontId="0" fillId="0" borderId="0" xfId="0" applyAlignment="1"/>
    <xf numFmtId="0" fontId="9" fillId="0" borderId="0" xfId="0" applyFont="1" applyBorder="1" applyAlignment="1">
      <alignment horizontal="center" vertical="center"/>
    </xf>
    <xf numFmtId="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 fontId="3" fillId="0" borderId="52" xfId="0" applyNumberFormat="1" applyFont="1" applyBorder="1" applyAlignment="1">
      <alignment horizontal="center" vertical="center"/>
    </xf>
    <xf numFmtId="2" fontId="6"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14" fillId="0" borderId="0" xfId="0" applyFont="1" applyBorder="1" applyAlignment="1">
      <alignment horizontal="center" vertical="center"/>
    </xf>
    <xf numFmtId="1" fontId="3" fillId="3" borderId="16" xfId="0" applyNumberFormat="1" applyFont="1" applyFill="1" applyBorder="1" applyAlignment="1">
      <alignment horizontal="center" vertical="center"/>
    </xf>
    <xf numFmtId="0" fontId="4" fillId="4" borderId="53"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19" fillId="0" borderId="54" xfId="0" applyFont="1" applyBorder="1" applyAlignment="1">
      <alignment horizontal="left" vertical="center"/>
    </xf>
    <xf numFmtId="0" fontId="19" fillId="0" borderId="55" xfId="0" applyFont="1" applyBorder="1" applyAlignment="1">
      <alignment horizontal="left" vertical="center" wrapText="1"/>
    </xf>
    <xf numFmtId="0" fontId="2" fillId="0" borderId="20" xfId="0" applyFont="1" applyBorder="1" applyAlignment="1">
      <alignment horizontal="center" vertical="center" wrapText="1"/>
    </xf>
    <xf numFmtId="14" fontId="2" fillId="0" borderId="56" xfId="0" applyNumberFormat="1" applyFont="1" applyBorder="1" applyAlignment="1">
      <alignment horizontal="center" vertical="center" wrapText="1"/>
    </xf>
    <xf numFmtId="0" fontId="2" fillId="0" borderId="56" xfId="0" applyFont="1" applyBorder="1" applyAlignment="1">
      <alignment horizontal="center" vertical="center" wrapText="1"/>
    </xf>
    <xf numFmtId="4" fontId="3" fillId="0" borderId="15" xfId="0" applyNumberFormat="1" applyFont="1" applyBorder="1" applyAlignment="1">
      <alignment horizontal="center" vertical="center"/>
    </xf>
    <xf numFmtId="49" fontId="2" fillId="6" borderId="1" xfId="0" applyNumberFormat="1" applyFont="1" applyFill="1" applyBorder="1" applyAlignment="1">
      <alignment horizontal="center" vertical="center" wrapText="1"/>
    </xf>
    <xf numFmtId="0" fontId="31" fillId="6" borderId="5" xfId="0" applyFont="1" applyFill="1" applyBorder="1" applyAlignment="1">
      <alignment horizontal="center" vertical="center" wrapText="1"/>
    </xf>
    <xf numFmtId="0" fontId="32" fillId="0" borderId="0" xfId="0" applyFont="1" applyAlignment="1">
      <alignment horizontal="center" vertical="center" wrapText="1"/>
    </xf>
    <xf numFmtId="0" fontId="31" fillId="6" borderId="15" xfId="0" applyFont="1" applyFill="1" applyBorder="1" applyAlignment="1">
      <alignment horizontal="center" vertical="center" wrapText="1"/>
    </xf>
    <xf numFmtId="0" fontId="12" fillId="0" borderId="0" xfId="0" applyFont="1" applyAlignment="1">
      <alignment horizontal="center" wrapText="1"/>
    </xf>
    <xf numFmtId="0" fontId="13" fillId="0" borderId="0" xfId="0" applyFont="1" applyAlignment="1"/>
    <xf numFmtId="0" fontId="29" fillId="0" borderId="57" xfId="0" applyNumberFormat="1" applyFont="1" applyBorder="1" applyAlignment="1">
      <alignment horizontal="center" vertical="top" wrapText="1"/>
    </xf>
    <xf numFmtId="0" fontId="34" fillId="0" borderId="0" xfId="0" applyFont="1"/>
    <xf numFmtId="49" fontId="12" fillId="0" borderId="0" xfId="0" applyNumberFormat="1" applyFont="1" applyBorder="1" applyAlignment="1">
      <alignment horizontal="center"/>
    </xf>
    <xf numFmtId="3" fontId="7" fillId="0" borderId="25" xfId="0" applyNumberFormat="1" applyFont="1" applyBorder="1" applyAlignment="1">
      <alignment horizontal="right" vertical="center"/>
    </xf>
    <xf numFmtId="3" fontId="7" fillId="0" borderId="31" xfId="0" applyNumberFormat="1" applyFont="1" applyBorder="1" applyAlignment="1">
      <alignment horizontal="right" vertical="center" wrapText="1"/>
    </xf>
    <xf numFmtId="0" fontId="12" fillId="0" borderId="0" xfId="0" applyFont="1" applyAlignment="1">
      <alignment horizontal="left"/>
    </xf>
    <xf numFmtId="49" fontId="12" fillId="0" borderId="0" xfId="0" applyNumberFormat="1" applyFont="1" applyAlignment="1">
      <alignment horizontal="left"/>
    </xf>
    <xf numFmtId="0" fontId="12" fillId="0" borderId="0" xfId="0" applyFont="1" applyAlignment="1">
      <alignment horizontal="center"/>
    </xf>
    <xf numFmtId="0" fontId="0" fillId="0" borderId="0" xfId="0" applyAlignment="1">
      <alignment vertical="top" wrapText="1"/>
    </xf>
    <xf numFmtId="0" fontId="0" fillId="0" borderId="1" xfId="0" applyBorder="1" applyAlignment="1">
      <alignment vertical="top" wrapText="1"/>
    </xf>
    <xf numFmtId="0" fontId="6" fillId="0" borderId="58" xfId="0" applyFont="1" applyBorder="1" applyAlignment="1">
      <alignment vertical="center"/>
    </xf>
    <xf numFmtId="2" fontId="6" fillId="0" borderId="58" xfId="0" applyNumberFormat="1" applyFont="1" applyBorder="1" applyAlignment="1">
      <alignment horizontal="center" vertical="center"/>
    </xf>
    <xf numFmtId="0" fontId="6" fillId="0" borderId="58" xfId="0" applyFont="1" applyBorder="1" applyAlignment="1">
      <alignment horizontal="center" vertical="center"/>
    </xf>
    <xf numFmtId="0" fontId="0" fillId="0" borderId="5" xfId="0" applyBorder="1" applyAlignment="1">
      <alignment vertical="top" wrapText="1"/>
    </xf>
    <xf numFmtId="0" fontId="0" fillId="0" borderId="15" xfId="0" applyBorder="1" applyAlignment="1">
      <alignment horizontal="right" vertical="top" wrapText="1"/>
    </xf>
    <xf numFmtId="0" fontId="22" fillId="0" borderId="1" xfId="0" applyFont="1" applyBorder="1" applyAlignment="1">
      <alignment vertical="top"/>
    </xf>
    <xf numFmtId="0" fontId="2" fillId="0" borderId="1" xfId="0" applyFont="1" applyBorder="1" applyAlignment="1">
      <alignment horizontal="left" vertical="center" wrapText="1"/>
    </xf>
    <xf numFmtId="0" fontId="36" fillId="0" borderId="0" xfId="0" applyFont="1" applyAlignment="1">
      <alignment horizontal="right" vertical="center"/>
    </xf>
    <xf numFmtId="3" fontId="36" fillId="0" borderId="0" xfId="0" applyNumberFormat="1" applyFont="1" applyAlignment="1">
      <alignment vertical="center"/>
    </xf>
    <xf numFmtId="166" fontId="6" fillId="2" borderId="1" xfId="0" applyNumberFormat="1" applyFont="1" applyFill="1" applyBorder="1" applyAlignment="1">
      <alignment horizontal="right" vertical="center"/>
    </xf>
    <xf numFmtId="0" fontId="2" fillId="7" borderId="56" xfId="0" applyFont="1" applyFill="1" applyBorder="1" applyAlignment="1">
      <alignment horizontal="center" vertical="center" wrapText="1"/>
    </xf>
    <xf numFmtId="49" fontId="3" fillId="7" borderId="1" xfId="0" applyNumberFormat="1" applyFont="1" applyFill="1" applyBorder="1" applyAlignment="1">
      <alignment horizontal="center" vertical="center"/>
    </xf>
    <xf numFmtId="0" fontId="17" fillId="7" borderId="1" xfId="0" applyFont="1" applyFill="1" applyBorder="1" applyAlignment="1">
      <alignment horizontal="center" vertical="center"/>
    </xf>
    <xf numFmtId="0" fontId="17" fillId="7" borderId="52"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17" fillId="7" borderId="15" xfId="0" applyFont="1" applyFill="1" applyBorder="1" applyAlignment="1">
      <alignment horizontal="center" vertical="center"/>
    </xf>
    <xf numFmtId="0" fontId="17" fillId="7" borderId="15" xfId="0" applyFont="1" applyFill="1" applyBorder="1" applyAlignment="1">
      <alignment horizontal="center" vertical="center" wrapText="1"/>
    </xf>
    <xf numFmtId="0" fontId="38" fillId="0" borderId="54" xfId="0" applyFont="1" applyBorder="1" applyAlignment="1">
      <alignment horizontal="left" vertical="center"/>
    </xf>
    <xf numFmtId="0" fontId="38" fillId="0" borderId="54" xfId="0" applyFont="1" applyBorder="1" applyAlignment="1">
      <alignment horizontal="left" vertical="center" wrapText="1"/>
    </xf>
    <xf numFmtId="0" fontId="38" fillId="0" borderId="59" xfId="0" applyFont="1" applyBorder="1" applyAlignment="1">
      <alignment horizontal="left" vertical="center" wrapText="1"/>
    </xf>
    <xf numFmtId="0" fontId="38" fillId="0" borderId="55" xfId="0" applyFont="1" applyBorder="1" applyAlignment="1">
      <alignment horizontal="left" vertical="center"/>
    </xf>
    <xf numFmtId="0" fontId="38" fillId="0" borderId="55" xfId="0" applyFont="1" applyBorder="1" applyAlignment="1">
      <alignment horizontal="left" vertical="center" wrapText="1"/>
    </xf>
    <xf numFmtId="0" fontId="38" fillId="0" borderId="60" xfId="0" applyFont="1" applyBorder="1" applyAlignment="1">
      <alignment horizontal="right" vertical="center" wrapText="1"/>
    </xf>
    <xf numFmtId="0" fontId="39" fillId="3" borderId="61" xfId="0" applyFont="1" applyFill="1" applyBorder="1" applyAlignment="1">
      <alignment horizontal="right" vertical="center" wrapText="1"/>
    </xf>
    <xf numFmtId="0" fontId="38" fillId="0" borderId="55" xfId="0" applyFont="1" applyBorder="1" applyAlignment="1">
      <alignment vertical="center" wrapText="1"/>
    </xf>
    <xf numFmtId="0" fontId="39" fillId="3" borderId="61" xfId="0" applyFont="1" applyFill="1" applyBorder="1" applyAlignment="1">
      <alignment horizontal="right" vertical="center"/>
    </xf>
    <xf numFmtId="0" fontId="38" fillId="0" borderId="55" xfId="0" applyFont="1" applyFill="1" applyBorder="1" applyAlignment="1">
      <alignment vertical="center" wrapText="1"/>
    </xf>
    <xf numFmtId="0" fontId="38" fillId="0" borderId="60" xfId="0" applyFont="1" applyFill="1" applyBorder="1" applyAlignment="1">
      <alignment horizontal="center" vertical="center"/>
    </xf>
    <xf numFmtId="0" fontId="39" fillId="0" borderId="61" xfId="0" applyFont="1" applyBorder="1" applyAlignment="1">
      <alignment horizontal="right" vertical="center"/>
    </xf>
    <xf numFmtId="0" fontId="39" fillId="0" borderId="55" xfId="0" applyFont="1" applyBorder="1" applyAlignment="1">
      <alignment horizontal="right" vertical="center"/>
    </xf>
    <xf numFmtId="0" fontId="39" fillId="3" borderId="60" xfId="0" applyFont="1" applyFill="1" applyBorder="1" applyAlignment="1">
      <alignment horizontal="right" vertical="center"/>
    </xf>
    <xf numFmtId="0" fontId="39" fillId="3" borderId="12" xfId="0" applyFont="1" applyFill="1" applyBorder="1" applyAlignment="1">
      <alignment horizontal="right" vertical="center"/>
    </xf>
    <xf numFmtId="49" fontId="3" fillId="7" borderId="1" xfId="0" applyNumberFormat="1" applyFont="1" applyFill="1" applyBorder="1" applyAlignment="1">
      <alignment horizontal="center" vertical="center" wrapText="1"/>
    </xf>
    <xf numFmtId="0" fontId="38" fillId="0" borderId="54" xfId="0" applyFont="1" applyBorder="1" applyAlignment="1">
      <alignment horizontal="left" vertical="top" wrapText="1"/>
    </xf>
    <xf numFmtId="2" fontId="3" fillId="0" borderId="1" xfId="0" applyNumberFormat="1" applyFont="1" applyBorder="1" applyAlignment="1">
      <alignment horizontal="center" vertical="top"/>
    </xf>
    <xf numFmtId="0" fontId="3" fillId="7" borderId="1" xfId="0" applyFont="1" applyFill="1" applyBorder="1" applyAlignment="1">
      <alignment horizontal="center" vertical="top"/>
    </xf>
    <xf numFmtId="0" fontId="3" fillId="0" borderId="0" xfId="0" applyFont="1" applyAlignment="1">
      <alignment vertical="top"/>
    </xf>
    <xf numFmtId="0" fontId="38" fillId="0" borderId="59" xfId="0" applyFont="1" applyBorder="1" applyAlignment="1">
      <alignment horizontal="left" vertical="top" wrapText="1"/>
    </xf>
    <xf numFmtId="2" fontId="3" fillId="0" borderId="52" xfId="0" applyNumberFormat="1" applyFont="1" applyBorder="1" applyAlignment="1">
      <alignment horizontal="center" vertical="top"/>
    </xf>
    <xf numFmtId="0" fontId="3" fillId="7" borderId="52" xfId="0" applyFont="1" applyFill="1" applyBorder="1" applyAlignment="1">
      <alignment horizontal="center" vertical="top"/>
    </xf>
    <xf numFmtId="49" fontId="3" fillId="7" borderId="1" xfId="0" applyNumberFormat="1" applyFont="1" applyFill="1" applyBorder="1" applyAlignment="1">
      <alignment horizontal="center" vertical="top"/>
    </xf>
    <xf numFmtId="49" fontId="3" fillId="7" borderId="52" xfId="0" applyNumberFormat="1" applyFont="1" applyFill="1" applyBorder="1" applyAlignment="1">
      <alignment horizontal="center" vertical="top"/>
    </xf>
    <xf numFmtId="0" fontId="3" fillId="7" borderId="15"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16" xfId="0" applyFont="1" applyFill="1" applyBorder="1" applyAlignment="1">
      <alignment horizontal="center" vertical="center"/>
    </xf>
    <xf numFmtId="0" fontId="38" fillId="0" borderId="60" xfId="0" applyFont="1" applyBorder="1" applyAlignment="1">
      <alignment horizontal="left" vertical="center"/>
    </xf>
    <xf numFmtId="0" fontId="0" fillId="0" borderId="0" xfId="0" applyAlignment="1">
      <alignment horizontal="justify" vertical="top" wrapText="1"/>
    </xf>
    <xf numFmtId="0" fontId="0" fillId="0" borderId="58" xfId="0" applyBorder="1" applyAlignment="1">
      <alignment horizontal="justify" vertical="top" wrapText="1"/>
    </xf>
    <xf numFmtId="3" fontId="3" fillId="0" borderId="8" xfId="0" applyNumberFormat="1" applyFont="1" applyBorder="1" applyAlignment="1">
      <alignment horizontal="center" vertical="center"/>
    </xf>
    <xf numFmtId="2" fontId="3" fillId="0" borderId="8" xfId="0" applyNumberFormat="1" applyFont="1" applyBorder="1" applyAlignment="1">
      <alignment horizontal="center" vertical="center"/>
    </xf>
    <xf numFmtId="0" fontId="3" fillId="7" borderId="8" xfId="0" applyFont="1" applyFill="1" applyBorder="1" applyAlignment="1">
      <alignment horizontal="center" vertical="center" wrapText="1"/>
    </xf>
    <xf numFmtId="0" fontId="0" fillId="0" borderId="1" xfId="0" applyBorder="1" applyAlignment="1">
      <alignment horizontal="left" vertical="top" wrapText="1"/>
    </xf>
    <xf numFmtId="4" fontId="0" fillId="0" borderId="5" xfId="0" applyNumberFormat="1" applyBorder="1" applyAlignment="1">
      <alignment vertical="top" wrapText="1"/>
    </xf>
    <xf numFmtId="0" fontId="3" fillId="0" borderId="62" xfId="0" applyFont="1" applyBorder="1"/>
    <xf numFmtId="0" fontId="0" fillId="0" borderId="62" xfId="0" applyBorder="1"/>
    <xf numFmtId="0" fontId="0" fillId="0" borderId="62" xfId="0" applyBorder="1" applyAlignment="1">
      <alignment vertical="top" wrapText="1"/>
    </xf>
    <xf numFmtId="0" fontId="38" fillId="0" borderId="60" xfId="0" applyFont="1" applyBorder="1" applyAlignment="1">
      <alignment horizontal="left" vertical="center" wrapText="1"/>
    </xf>
    <xf numFmtId="4" fontId="17" fillId="0" borderId="5" xfId="0" applyNumberFormat="1" applyFont="1" applyFill="1" applyBorder="1" applyAlignment="1">
      <alignment horizontal="center" vertical="center"/>
    </xf>
    <xf numFmtId="2" fontId="17" fillId="0" borderId="5" xfId="0" applyNumberFormat="1" applyFont="1" applyFill="1" applyBorder="1" applyAlignment="1">
      <alignment horizontal="center" vertical="center"/>
    </xf>
    <xf numFmtId="4" fontId="3" fillId="0" borderId="8" xfId="0" applyNumberFormat="1" applyFont="1" applyBorder="1" applyAlignment="1">
      <alignment horizontal="center" vertical="center"/>
    </xf>
    <xf numFmtId="0" fontId="2" fillId="7" borderId="1" xfId="0" applyFont="1" applyFill="1" applyBorder="1" applyAlignment="1">
      <alignment horizontal="center" vertical="center" wrapText="1"/>
    </xf>
    <xf numFmtId="0" fontId="6" fillId="0" borderId="1" xfId="0" applyFont="1" applyBorder="1" applyAlignment="1">
      <alignment horizontal="center" vertical="top" wrapText="1"/>
    </xf>
    <xf numFmtId="3" fontId="6" fillId="8" borderId="1" xfId="0" applyNumberFormat="1" applyFont="1" applyFill="1" applyBorder="1" applyAlignment="1">
      <alignment vertical="top" wrapText="1"/>
    </xf>
    <xf numFmtId="3" fontId="6" fillId="0" borderId="1" xfId="0" applyNumberFormat="1" applyFont="1" applyBorder="1" applyAlignment="1">
      <alignment vertical="top" wrapText="1"/>
    </xf>
    <xf numFmtId="3" fontId="31" fillId="0" borderId="1" xfId="0" applyNumberFormat="1" applyFont="1" applyBorder="1" applyAlignment="1">
      <alignment vertical="top" wrapText="1"/>
    </xf>
    <xf numFmtId="3" fontId="5" fillId="0" borderId="1" xfId="0" applyNumberFormat="1" applyFont="1" applyBorder="1" applyAlignment="1">
      <alignment vertical="top" wrapText="1"/>
    </xf>
    <xf numFmtId="3" fontId="6" fillId="0" borderId="1" xfId="0" applyNumberFormat="1" applyFont="1" applyBorder="1" applyAlignment="1">
      <alignment horizontal="center" vertical="top" wrapText="1"/>
    </xf>
    <xf numFmtId="3" fontId="32" fillId="0" borderId="1" xfId="0" applyNumberFormat="1" applyFont="1" applyBorder="1" applyAlignment="1">
      <alignment vertical="top" wrapText="1"/>
    </xf>
    <xf numFmtId="0" fontId="26" fillId="0" borderId="0" xfId="0" applyFont="1" applyAlignment="1">
      <alignment vertical="top"/>
    </xf>
    <xf numFmtId="0" fontId="12" fillId="0" borderId="63" xfId="0" applyFont="1" applyBorder="1" applyAlignment="1">
      <alignment horizontal="left"/>
    </xf>
    <xf numFmtId="0" fontId="12" fillId="0" borderId="63" xfId="0" applyFont="1" applyBorder="1" applyAlignment="1"/>
    <xf numFmtId="0" fontId="39" fillId="0" borderId="60" xfId="0" applyFont="1" applyBorder="1" applyAlignment="1">
      <alignment horizontal="right" vertical="center"/>
    </xf>
    <xf numFmtId="0" fontId="26" fillId="0" borderId="0" xfId="0" applyFont="1" applyAlignment="1"/>
    <xf numFmtId="0" fontId="0" fillId="0" borderId="64" xfId="0" applyBorder="1"/>
    <xf numFmtId="3" fontId="7" fillId="0" borderId="25" xfId="0" applyNumberFormat="1" applyFont="1" applyBorder="1" applyAlignment="1">
      <alignment horizontal="center" vertical="center" wrapText="1"/>
    </xf>
    <xf numFmtId="3" fontId="6" fillId="6" borderId="65" xfId="0" applyNumberFormat="1" applyFont="1" applyFill="1" applyBorder="1" applyAlignment="1">
      <alignment vertical="center"/>
    </xf>
    <xf numFmtId="166" fontId="6" fillId="6" borderId="66" xfId="0" applyNumberFormat="1" applyFont="1" applyFill="1" applyBorder="1" applyAlignment="1">
      <alignment vertical="center"/>
    </xf>
    <xf numFmtId="10" fontId="6" fillId="6" borderId="65" xfId="2" applyNumberFormat="1" applyFont="1" applyFill="1" applyBorder="1" applyAlignment="1">
      <alignment vertical="center" wrapText="1"/>
    </xf>
    <xf numFmtId="10" fontId="6" fillId="6" borderId="67" xfId="2" applyNumberFormat="1" applyFont="1" applyFill="1" applyBorder="1" applyAlignment="1">
      <alignment vertical="center" wrapText="1"/>
    </xf>
    <xf numFmtId="10" fontId="6" fillId="6" borderId="66" xfId="2" applyNumberFormat="1" applyFont="1" applyFill="1" applyBorder="1" applyAlignment="1">
      <alignment vertical="center"/>
    </xf>
    <xf numFmtId="166" fontId="6" fillId="6" borderId="39" xfId="0" applyNumberFormat="1" applyFont="1" applyFill="1" applyBorder="1" applyAlignment="1">
      <alignment vertical="top" wrapText="1"/>
    </xf>
    <xf numFmtId="10" fontId="6" fillId="6" borderId="38" xfId="2" applyNumberFormat="1" applyFont="1" applyFill="1" applyBorder="1" applyAlignment="1">
      <alignment vertical="center" wrapText="1"/>
    </xf>
    <xf numFmtId="10" fontId="6" fillId="6" borderId="68" xfId="2" applyNumberFormat="1" applyFont="1" applyFill="1" applyBorder="1" applyAlignment="1">
      <alignment vertical="center" wrapText="1"/>
    </xf>
    <xf numFmtId="1" fontId="7" fillId="0" borderId="5" xfId="0" applyNumberFormat="1" applyFont="1" applyBorder="1" applyAlignment="1">
      <alignment vertical="center"/>
    </xf>
    <xf numFmtId="3" fontId="7" fillId="0" borderId="25" xfId="0" applyNumberFormat="1" applyFont="1" applyBorder="1" applyAlignment="1">
      <alignment horizontal="right" vertical="center" wrapText="1"/>
    </xf>
    <xf numFmtId="0" fontId="5" fillId="0" borderId="5" xfId="0" applyFont="1" applyBorder="1" applyAlignment="1">
      <alignment vertical="center"/>
    </xf>
    <xf numFmtId="0" fontId="6" fillId="0" borderId="5"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vertical="center"/>
    </xf>
    <xf numFmtId="49" fontId="6" fillId="0" borderId="25" xfId="0" applyNumberFormat="1" applyFont="1" applyBorder="1" applyAlignment="1">
      <alignment horizontal="center" vertical="center"/>
    </xf>
    <xf numFmtId="0" fontId="5" fillId="0" borderId="25" xfId="0" applyFont="1" applyBorder="1" applyAlignment="1">
      <alignment vertical="center" wrapText="1"/>
    </xf>
    <xf numFmtId="0" fontId="6" fillId="0" borderId="25" xfId="0" applyFont="1" applyBorder="1" applyAlignment="1">
      <alignment vertical="center" wrapText="1"/>
    </xf>
    <xf numFmtId="49" fontId="6" fillId="0" borderId="25" xfId="0" applyNumberFormat="1" applyFont="1" applyBorder="1" applyAlignment="1">
      <alignment horizontal="center" vertical="center" wrapText="1"/>
    </xf>
    <xf numFmtId="0" fontId="6" fillId="0" borderId="5" xfId="0" applyFont="1" applyBorder="1" applyAlignment="1">
      <alignment horizontal="center" vertical="center"/>
    </xf>
    <xf numFmtId="0" fontId="6" fillId="6" borderId="65" xfId="0" applyFont="1" applyFill="1" applyBorder="1" applyAlignment="1">
      <alignment vertical="center"/>
    </xf>
    <xf numFmtId="0" fontId="6" fillId="6" borderId="45" xfId="0" applyFont="1" applyFill="1" applyBorder="1" applyAlignment="1">
      <alignment vertical="center"/>
    </xf>
    <xf numFmtId="0" fontId="6" fillId="6" borderId="69" xfId="0" applyFont="1" applyFill="1" applyBorder="1" applyAlignment="1">
      <alignment vertical="center"/>
    </xf>
    <xf numFmtId="3" fontId="6" fillId="6" borderId="70" xfId="0" applyNumberFormat="1" applyFont="1" applyFill="1" applyBorder="1" applyAlignment="1">
      <alignment vertical="center"/>
    </xf>
    <xf numFmtId="166" fontId="6" fillId="6" borderId="71" xfId="0" applyNumberFormat="1" applyFont="1" applyFill="1" applyBorder="1" applyAlignment="1">
      <alignment vertical="center"/>
    </xf>
    <xf numFmtId="10" fontId="6" fillId="6" borderId="45" xfId="2" applyNumberFormat="1" applyFont="1" applyFill="1" applyBorder="1" applyAlignment="1">
      <alignment vertical="center" wrapText="1"/>
    </xf>
    <xf numFmtId="10" fontId="6" fillId="6" borderId="69" xfId="2" applyNumberFormat="1" applyFont="1" applyFill="1" applyBorder="1" applyAlignment="1">
      <alignment vertical="center" wrapText="1"/>
    </xf>
    <xf numFmtId="10" fontId="6" fillId="6" borderId="71" xfId="2" applyNumberFormat="1" applyFont="1" applyFill="1" applyBorder="1" applyAlignment="1">
      <alignment vertical="center"/>
    </xf>
    <xf numFmtId="0" fontId="26" fillId="0" borderId="0" xfId="0" applyFont="1" applyBorder="1"/>
    <xf numFmtId="49" fontId="25" fillId="0" borderId="2" xfId="0" applyNumberFormat="1" applyFont="1" applyBorder="1" applyAlignment="1">
      <alignment horizontal="center" wrapText="1"/>
    </xf>
    <xf numFmtId="3" fontId="0" fillId="0" borderId="0" xfId="0" applyNumberFormat="1" applyAlignment="1">
      <alignment vertical="top" wrapText="1"/>
    </xf>
    <xf numFmtId="0" fontId="0" fillId="0" borderId="15" xfId="0" applyBorder="1" applyAlignment="1">
      <alignment vertical="top" wrapText="1"/>
    </xf>
    <xf numFmtId="1" fontId="0" fillId="0" borderId="15" xfId="0" applyNumberFormat="1" applyBorder="1" applyAlignment="1">
      <alignment vertical="top" wrapText="1"/>
    </xf>
    <xf numFmtId="0" fontId="41" fillId="0" borderId="0" xfId="0" applyFont="1"/>
    <xf numFmtId="0" fontId="26" fillId="0" borderId="9" xfId="0" applyFont="1" applyBorder="1" applyAlignment="1">
      <alignment vertical="top"/>
    </xf>
    <xf numFmtId="0" fontId="26" fillId="0" borderId="11" xfId="0" applyFont="1" applyBorder="1" applyAlignment="1">
      <alignment vertical="top"/>
    </xf>
    <xf numFmtId="3" fontId="26" fillId="0" borderId="1" xfId="0" applyNumberFormat="1" applyFont="1" applyBorder="1" applyAlignment="1">
      <alignment vertical="top" wrapText="1"/>
    </xf>
    <xf numFmtId="3" fontId="26" fillId="6" borderId="1" xfId="0" applyNumberFormat="1" applyFont="1" applyFill="1" applyBorder="1" applyAlignment="1">
      <alignment vertical="top"/>
    </xf>
    <xf numFmtId="0" fontId="26" fillId="0" borderId="1" xfId="0" applyFont="1" applyBorder="1" applyAlignment="1">
      <alignment vertical="top"/>
    </xf>
    <xf numFmtId="0" fontId="26" fillId="0" borderId="1" xfId="0" applyFont="1" applyBorder="1" applyAlignment="1">
      <alignment horizontal="center" vertical="top" wrapText="1"/>
    </xf>
    <xf numFmtId="0" fontId="26" fillId="0" borderId="9" xfId="0" applyFont="1" applyBorder="1" applyAlignment="1">
      <alignment vertical="top" wrapText="1"/>
    </xf>
    <xf numFmtId="0" fontId="26" fillId="0" borderId="11" xfId="0" applyFont="1" applyBorder="1" applyAlignment="1">
      <alignment vertical="top" wrapText="1"/>
    </xf>
    <xf numFmtId="3" fontId="26" fillId="6" borderId="1" xfId="0" applyNumberFormat="1" applyFont="1" applyFill="1" applyBorder="1" applyAlignment="1">
      <alignment vertical="top" wrapText="1"/>
    </xf>
    <xf numFmtId="167" fontId="26" fillId="6" borderId="1" xfId="2" applyNumberFormat="1" applyFont="1" applyFill="1" applyBorder="1" applyAlignment="1">
      <alignment vertical="top" wrapText="1"/>
    </xf>
    <xf numFmtId="0" fontId="22" fillId="0" borderId="1" xfId="0" applyFont="1" applyBorder="1" applyAlignment="1">
      <alignment horizontal="center" vertical="top" wrapText="1"/>
    </xf>
    <xf numFmtId="3" fontId="22" fillId="0" borderId="1" xfId="0" applyNumberFormat="1" applyFont="1" applyBorder="1" applyAlignment="1">
      <alignment vertical="top" wrapText="1"/>
    </xf>
    <xf numFmtId="3" fontId="22" fillId="6" borderId="1" xfId="0" applyNumberFormat="1" applyFont="1" applyFill="1" applyBorder="1" applyAlignment="1">
      <alignment vertical="top" wrapText="1"/>
    </xf>
    <xf numFmtId="167" fontId="22" fillId="6" borderId="1" xfId="2" applyNumberFormat="1" applyFont="1" applyFill="1" applyBorder="1" applyAlignment="1">
      <alignment vertical="top" wrapText="1"/>
    </xf>
    <xf numFmtId="0" fontId="4" fillId="4" borderId="53" xfId="0" applyFont="1" applyFill="1" applyBorder="1" applyAlignment="1">
      <alignment horizontal="left" vertical="center"/>
    </xf>
    <xf numFmtId="0" fontId="27" fillId="0" borderId="0" xfId="0" applyNumberFormat="1" applyFont="1" applyBorder="1" applyAlignment="1">
      <alignment horizontal="right" wrapText="1"/>
    </xf>
    <xf numFmtId="0" fontId="26" fillId="0" borderId="0" xfId="0" applyNumberFormat="1" applyFont="1"/>
    <xf numFmtId="0" fontId="25" fillId="0" borderId="72" xfId="0" applyNumberFormat="1" applyFont="1" applyBorder="1" applyAlignment="1">
      <alignment horizontal="right"/>
    </xf>
    <xf numFmtId="0" fontId="25" fillId="0" borderId="72" xfId="0" applyNumberFormat="1" applyFont="1" applyBorder="1" applyAlignment="1">
      <alignment horizontal="left"/>
    </xf>
    <xf numFmtId="1" fontId="0" fillId="0" borderId="1" xfId="0" applyNumberFormat="1" applyBorder="1" applyAlignment="1">
      <alignment vertical="top" wrapText="1"/>
    </xf>
    <xf numFmtId="0" fontId="0" fillId="0" borderId="5" xfId="0" applyBorder="1" applyAlignment="1">
      <alignment horizontal="left" vertical="top" wrapText="1"/>
    </xf>
    <xf numFmtId="4" fontId="0" fillId="0" borderId="1" xfId="0" applyNumberFormat="1" applyBorder="1" applyAlignment="1">
      <alignment horizontal="center" vertical="top" wrapText="1"/>
    </xf>
    <xf numFmtId="0" fontId="0" fillId="0" borderId="5" xfId="0" applyBorder="1" applyAlignment="1">
      <alignment horizontal="center" vertical="top" wrapText="1"/>
    </xf>
    <xf numFmtId="0" fontId="0" fillId="0" borderId="15" xfId="0" applyBorder="1" applyAlignment="1">
      <alignment horizontal="center" vertical="top" wrapText="1"/>
    </xf>
    <xf numFmtId="0" fontId="0" fillId="0" borderId="1" xfId="0" applyBorder="1" applyAlignment="1">
      <alignment horizontal="center" vertical="top" wrapText="1"/>
    </xf>
    <xf numFmtId="2" fontId="0" fillId="0" borderId="1" xfId="0" applyNumberFormat="1" applyBorder="1" applyAlignment="1">
      <alignment horizontal="center" vertical="top" wrapText="1"/>
    </xf>
    <xf numFmtId="165" fontId="0" fillId="0" borderId="1" xfId="0" applyNumberFormat="1" applyBorder="1" applyAlignment="1">
      <alignment horizontal="center" vertical="top" wrapText="1"/>
    </xf>
    <xf numFmtId="49" fontId="28" fillId="0" borderId="73" xfId="0" applyNumberFormat="1" applyFont="1" applyBorder="1" applyAlignment="1">
      <alignment horizontal="right"/>
    </xf>
    <xf numFmtId="49" fontId="28" fillId="0" borderId="74" xfId="0" applyNumberFormat="1" applyFont="1" applyBorder="1" applyAlignment="1">
      <alignment horizontal="left"/>
    </xf>
    <xf numFmtId="0" fontId="23" fillId="0" borderId="0" xfId="1" applyAlignment="1" applyProtection="1">
      <alignment horizontal="center"/>
    </xf>
    <xf numFmtId="0" fontId="22" fillId="0" borderId="25" xfId="0" applyFont="1" applyBorder="1" applyAlignment="1">
      <alignment vertical="center" wrapText="1"/>
    </xf>
    <xf numFmtId="0" fontId="26" fillId="0" borderId="25" xfId="0" applyFont="1" applyBorder="1" applyAlignment="1">
      <alignment vertical="center" wrapText="1"/>
    </xf>
    <xf numFmtId="49" fontId="26" fillId="0" borderId="25" xfId="0" applyNumberFormat="1" applyFont="1" applyBorder="1" applyAlignment="1">
      <alignment horizontal="center" vertical="center" wrapText="1"/>
    </xf>
    <xf numFmtId="3" fontId="40" fillId="0" borderId="25" xfId="0" applyNumberFormat="1" applyFont="1" applyBorder="1" applyAlignment="1">
      <alignment horizontal="right" vertical="center" wrapText="1"/>
    </xf>
    <xf numFmtId="3" fontId="26" fillId="6" borderId="38" xfId="0" applyNumberFormat="1" applyFont="1" applyFill="1" applyBorder="1" applyAlignment="1">
      <alignment vertical="center" wrapText="1"/>
    </xf>
    <xf numFmtId="166" fontId="26" fillId="6" borderId="39" xfId="0" applyNumberFormat="1" applyFont="1" applyFill="1" applyBorder="1" applyAlignment="1">
      <alignment vertical="center" wrapText="1"/>
    </xf>
    <xf numFmtId="10" fontId="26" fillId="6" borderId="38" xfId="2" applyNumberFormat="1" applyFont="1" applyFill="1" applyBorder="1" applyAlignment="1">
      <alignment vertical="center" wrapText="1"/>
    </xf>
    <xf numFmtId="10" fontId="26" fillId="6" borderId="68" xfId="2" applyNumberFormat="1" applyFont="1" applyFill="1" applyBorder="1" applyAlignment="1">
      <alignment vertical="center" wrapText="1"/>
    </xf>
    <xf numFmtId="10" fontId="26" fillId="6" borderId="39" xfId="2" applyNumberFormat="1" applyFont="1" applyFill="1" applyBorder="1" applyAlignment="1">
      <alignment vertical="center" wrapText="1"/>
    </xf>
    <xf numFmtId="0" fontId="26" fillId="0" borderId="0" xfId="0" applyFont="1" applyBorder="1" applyAlignment="1">
      <alignment vertical="center" wrapText="1"/>
    </xf>
    <xf numFmtId="0" fontId="22" fillId="0" borderId="29" xfId="0" applyFont="1" applyBorder="1" applyAlignment="1">
      <alignment vertical="center" wrapText="1"/>
    </xf>
    <xf numFmtId="0" fontId="26" fillId="0" borderId="29" xfId="0" applyFont="1" applyBorder="1" applyAlignment="1">
      <alignment vertical="center" wrapText="1"/>
    </xf>
    <xf numFmtId="49" fontId="26" fillId="0" borderId="29" xfId="0" applyNumberFormat="1" applyFont="1" applyBorder="1" applyAlignment="1">
      <alignment horizontal="center" vertical="center" wrapText="1"/>
    </xf>
    <xf numFmtId="3" fontId="40" fillId="0" borderId="29" xfId="0" applyNumberFormat="1" applyFont="1" applyBorder="1" applyAlignment="1">
      <alignment horizontal="right" vertical="center" wrapText="1"/>
    </xf>
    <xf numFmtId="3" fontId="26" fillId="6" borderId="35" xfId="0" applyNumberFormat="1" applyFont="1" applyFill="1" applyBorder="1" applyAlignment="1">
      <alignment vertical="center" wrapText="1"/>
    </xf>
    <xf numFmtId="166" fontId="26" fillId="6" borderId="36" xfId="0" applyNumberFormat="1" applyFont="1" applyFill="1" applyBorder="1" applyAlignment="1">
      <alignment vertical="center" wrapText="1"/>
    </xf>
    <xf numFmtId="10" fontId="26" fillId="6" borderId="35" xfId="2" applyNumberFormat="1" applyFont="1" applyFill="1" applyBorder="1" applyAlignment="1">
      <alignment vertical="center" wrapText="1"/>
    </xf>
    <xf numFmtId="10" fontId="26" fillId="6" borderId="44" xfId="2" applyNumberFormat="1" applyFont="1" applyFill="1" applyBorder="1" applyAlignment="1">
      <alignment vertical="center" wrapText="1"/>
    </xf>
    <xf numFmtId="10" fontId="26" fillId="6" borderId="36" xfId="2" applyNumberFormat="1" applyFont="1" applyFill="1" applyBorder="1" applyAlignment="1">
      <alignment vertical="center" wrapText="1"/>
    </xf>
    <xf numFmtId="0" fontId="22" fillId="0" borderId="32" xfId="0" applyFont="1" applyBorder="1" applyAlignment="1">
      <alignment vertical="center" wrapText="1"/>
    </xf>
    <xf numFmtId="0" fontId="26" fillId="0" borderId="32" xfId="0" applyFont="1" applyBorder="1" applyAlignment="1">
      <alignment vertical="center" wrapText="1"/>
    </xf>
    <xf numFmtId="49" fontId="26" fillId="0" borderId="32" xfId="0" applyNumberFormat="1" applyFont="1" applyBorder="1" applyAlignment="1">
      <alignment horizontal="center" vertical="center" wrapText="1"/>
    </xf>
    <xf numFmtId="3" fontId="40" fillId="0" borderId="32" xfId="0" applyNumberFormat="1" applyFont="1" applyBorder="1" applyAlignment="1">
      <alignment horizontal="right" vertical="center" wrapText="1"/>
    </xf>
    <xf numFmtId="3" fontId="26" fillId="6" borderId="45" xfId="0" applyNumberFormat="1" applyFont="1" applyFill="1" applyBorder="1" applyAlignment="1">
      <alignment vertical="center" wrapText="1"/>
    </xf>
    <xf numFmtId="0" fontId="26" fillId="0" borderId="0" xfId="0" applyFont="1" applyBorder="1" applyAlignment="1"/>
    <xf numFmtId="3" fontId="7" fillId="0" borderId="32" xfId="0" applyNumberFormat="1" applyFont="1" applyFill="1" applyBorder="1" applyAlignment="1">
      <alignment horizontal="right" vertical="center" wrapText="1"/>
    </xf>
    <xf numFmtId="0" fontId="38" fillId="0" borderId="59" xfId="0" applyFont="1" applyBorder="1" applyAlignment="1">
      <alignment horizontal="left" vertical="center"/>
    </xf>
    <xf numFmtId="0" fontId="2" fillId="0" borderId="0" xfId="0" applyFont="1" applyBorder="1" applyAlignment="1"/>
    <xf numFmtId="0" fontId="12" fillId="0" borderId="0" xfId="0" applyFont="1" applyBorder="1" applyAlignment="1">
      <alignment horizontal="left"/>
    </xf>
    <xf numFmtId="0" fontId="12" fillId="0" borderId="0" xfId="0" applyFont="1" applyBorder="1" applyAlignment="1"/>
    <xf numFmtId="3" fontId="6" fillId="6" borderId="15" xfId="0" applyNumberFormat="1" applyFont="1" applyFill="1" applyBorder="1" applyAlignment="1">
      <alignment vertical="top" wrapText="1"/>
    </xf>
    <xf numFmtId="0" fontId="5" fillId="2" borderId="3" xfId="0" applyFont="1" applyFill="1" applyBorder="1" applyAlignment="1">
      <alignment vertical="center"/>
    </xf>
    <xf numFmtId="49" fontId="6" fillId="2" borderId="5" xfId="0" applyNumberFormat="1" applyFont="1" applyFill="1" applyBorder="1" applyAlignment="1">
      <alignment horizontal="center" vertical="center"/>
    </xf>
    <xf numFmtId="3" fontId="8" fillId="2" borderId="5" xfId="0" applyNumberFormat="1"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horizontal="left" vertical="center"/>
    </xf>
    <xf numFmtId="49" fontId="6" fillId="0" borderId="5" xfId="0" applyNumberFormat="1" applyFont="1" applyFill="1" applyBorder="1" applyAlignment="1">
      <alignment horizontal="center" vertical="center"/>
    </xf>
    <xf numFmtId="3" fontId="8" fillId="0" borderId="5" xfId="0" applyNumberFormat="1" applyFont="1" applyFill="1" applyBorder="1" applyAlignment="1">
      <alignment vertical="center"/>
    </xf>
    <xf numFmtId="3" fontId="6" fillId="0" borderId="5" xfId="0" applyNumberFormat="1" applyFont="1" applyFill="1" applyBorder="1" applyAlignment="1">
      <alignment vertical="center"/>
    </xf>
    <xf numFmtId="0" fontId="5" fillId="0" borderId="4" xfId="0" applyFont="1" applyFill="1" applyBorder="1" applyAlignment="1">
      <alignment horizontal="right" vertical="center"/>
    </xf>
    <xf numFmtId="0" fontId="5" fillId="0" borderId="2" xfId="0" applyFont="1" applyFill="1" applyBorder="1" applyAlignment="1">
      <alignment vertical="center"/>
    </xf>
    <xf numFmtId="0" fontId="5" fillId="0" borderId="4" xfId="0" applyFont="1" applyFill="1" applyBorder="1" applyAlignment="1">
      <alignment horizontal="left" vertical="center" wrapText="1"/>
    </xf>
    <xf numFmtId="0" fontId="5" fillId="0" borderId="3" xfId="0" applyFont="1" applyFill="1" applyBorder="1" applyAlignment="1">
      <alignment vertical="top"/>
    </xf>
    <xf numFmtId="0" fontId="5" fillId="0" borderId="15" xfId="0" applyFont="1" applyBorder="1" applyAlignment="1">
      <alignment vertical="center" wrapText="1"/>
    </xf>
    <xf numFmtId="0" fontId="6" fillId="0" borderId="15" xfId="0" applyFont="1" applyBorder="1" applyAlignment="1">
      <alignment vertical="center" wrapText="1"/>
    </xf>
    <xf numFmtId="49" fontId="6" fillId="0" borderId="15" xfId="0" applyNumberFormat="1" applyFont="1" applyBorder="1" applyAlignment="1">
      <alignment horizontal="center" vertical="center" wrapText="1"/>
    </xf>
    <xf numFmtId="3" fontId="7" fillId="0" borderId="15" xfId="0" applyNumberFormat="1" applyFont="1" applyBorder="1" applyAlignment="1">
      <alignment horizontal="right" vertical="center" wrapText="1"/>
    </xf>
    <xf numFmtId="3" fontId="26" fillId="0" borderId="0" xfId="0" applyNumberFormat="1" applyFont="1" applyAlignment="1">
      <alignment vertical="top" wrapText="1"/>
    </xf>
    <xf numFmtId="3" fontId="0" fillId="0" borderId="0" xfId="0" applyNumberFormat="1"/>
    <xf numFmtId="49" fontId="31" fillId="6" borderId="15" xfId="0" applyNumberFormat="1" applyFont="1" applyFill="1" applyBorder="1" applyAlignment="1">
      <alignment horizontal="center" vertical="center" wrapText="1"/>
    </xf>
    <xf numFmtId="0" fontId="5" fillId="0" borderId="6" xfId="0" applyFont="1" applyBorder="1" applyAlignment="1">
      <alignment vertical="top" wrapText="1"/>
    </xf>
    <xf numFmtId="0" fontId="5" fillId="0" borderId="0" xfId="0" applyFont="1" applyBorder="1" applyAlignment="1">
      <alignment vertical="top" wrapText="1"/>
    </xf>
    <xf numFmtId="0" fontId="6" fillId="0" borderId="7" xfId="0" applyFont="1" applyBorder="1" applyAlignment="1">
      <alignment vertical="top" wrapText="1"/>
    </xf>
    <xf numFmtId="49" fontId="6" fillId="0" borderId="8" xfId="0" applyNumberFormat="1" applyFont="1" applyBorder="1" applyAlignment="1">
      <alignment horizontal="center" vertical="top" wrapText="1"/>
    </xf>
    <xf numFmtId="3" fontId="7" fillId="0" borderId="8" xfId="0" applyNumberFormat="1" applyFont="1" applyBorder="1" applyAlignment="1">
      <alignment horizontal="right" vertical="top" wrapText="1"/>
    </xf>
    <xf numFmtId="3" fontId="6" fillId="6" borderId="51" xfId="0" applyNumberFormat="1" applyFont="1" applyFill="1" applyBorder="1" applyAlignment="1">
      <alignment vertical="top" wrapText="1"/>
    </xf>
    <xf numFmtId="166" fontId="6" fillId="6" borderId="45" xfId="0" applyNumberFormat="1" applyFont="1" applyFill="1" applyBorder="1" applyAlignment="1">
      <alignment vertical="top" wrapText="1"/>
    </xf>
    <xf numFmtId="10" fontId="6" fillId="6" borderId="37" xfId="2" applyNumberFormat="1" applyFont="1" applyFill="1" applyBorder="1" applyAlignment="1">
      <alignment vertical="top" wrapText="1"/>
    </xf>
    <xf numFmtId="3" fontId="7" fillId="0" borderId="8" xfId="0" applyNumberFormat="1" applyFont="1" applyBorder="1" applyAlignment="1">
      <alignment horizontal="right" vertical="center"/>
    </xf>
    <xf numFmtId="3" fontId="6" fillId="6" borderId="25" xfId="0" applyNumberFormat="1" applyFont="1" applyFill="1" applyBorder="1" applyAlignment="1">
      <alignment vertical="center"/>
    </xf>
    <xf numFmtId="166" fontId="6" fillId="6" borderId="38" xfId="0" applyNumberFormat="1" applyFont="1" applyFill="1" applyBorder="1" applyAlignment="1">
      <alignment vertical="center"/>
    </xf>
    <xf numFmtId="166" fontId="6" fillId="2" borderId="46" xfId="0" applyNumberFormat="1" applyFont="1" applyFill="1" applyBorder="1" applyAlignment="1">
      <alignment vertical="center"/>
    </xf>
    <xf numFmtId="10" fontId="6" fillId="2" borderId="47" xfId="0" applyNumberFormat="1" applyFont="1" applyFill="1" applyBorder="1" applyAlignment="1">
      <alignment vertical="center"/>
    </xf>
    <xf numFmtId="0" fontId="6" fillId="0" borderId="51" xfId="0" applyFont="1" applyBorder="1" applyAlignment="1">
      <alignment vertical="center" wrapText="1"/>
    </xf>
    <xf numFmtId="49" fontId="6" fillId="0" borderId="51" xfId="0" applyNumberFormat="1" applyFont="1" applyBorder="1" applyAlignment="1">
      <alignment horizontal="center" vertical="center" wrapText="1"/>
    </xf>
    <xf numFmtId="3" fontId="7" fillId="0" borderId="51" xfId="0" applyNumberFormat="1" applyFont="1" applyBorder="1" applyAlignment="1">
      <alignment vertical="center" wrapText="1"/>
    </xf>
    <xf numFmtId="0" fontId="28" fillId="0" borderId="17" xfId="0" applyNumberFormat="1" applyFont="1" applyBorder="1" applyAlignment="1">
      <alignment horizontal="center" wrapText="1"/>
    </xf>
    <xf numFmtId="0" fontId="29" fillId="0" borderId="1" xfId="0" applyNumberFormat="1" applyFont="1" applyBorder="1" applyAlignment="1">
      <alignment horizontal="center" vertical="top" wrapText="1"/>
    </xf>
    <xf numFmtId="3" fontId="6" fillId="6" borderId="5" xfId="0" applyNumberFormat="1" applyFont="1" applyFill="1" applyBorder="1" applyAlignment="1">
      <alignment vertical="center"/>
    </xf>
    <xf numFmtId="0" fontId="5" fillId="0" borderId="57" xfId="0" applyFont="1" applyBorder="1" applyAlignment="1">
      <alignment vertical="top" wrapText="1"/>
    </xf>
    <xf numFmtId="0" fontId="5" fillId="0" borderId="75" xfId="0" applyFont="1" applyBorder="1" applyAlignment="1">
      <alignment vertical="top" wrapText="1"/>
    </xf>
    <xf numFmtId="0" fontId="6" fillId="0" borderId="76" xfId="0" applyFont="1" applyBorder="1" applyAlignment="1">
      <alignment vertical="top" wrapText="1"/>
    </xf>
    <xf numFmtId="49" fontId="6" fillId="0" borderId="32" xfId="0" applyNumberFormat="1" applyFont="1" applyBorder="1" applyAlignment="1">
      <alignment horizontal="center" vertical="top" wrapText="1"/>
    </xf>
    <xf numFmtId="3" fontId="7" fillId="0" borderId="32" xfId="0" applyNumberFormat="1" applyFont="1" applyBorder="1" applyAlignment="1">
      <alignment vertical="top"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wrapText="1"/>
    </xf>
    <xf numFmtId="14" fontId="42" fillId="0" borderId="1" xfId="0" applyNumberFormat="1" applyFont="1" applyBorder="1" applyAlignment="1">
      <alignment horizontal="center" vertical="center" wrapText="1"/>
    </xf>
    <xf numFmtId="0" fontId="26" fillId="0" borderId="0" xfId="0" applyFont="1" applyAlignment="1">
      <alignment vertical="center"/>
    </xf>
    <xf numFmtId="0" fontId="0" fillId="0" borderId="0" xfId="0" applyFill="1" applyBorder="1" applyAlignment="1">
      <alignment vertical="center"/>
    </xf>
    <xf numFmtId="0" fontId="33" fillId="0" borderId="0" xfId="0" applyFont="1" applyAlignment="1">
      <alignment vertical="center"/>
    </xf>
    <xf numFmtId="0" fontId="41" fillId="5" borderId="0" xfId="0" applyFont="1" applyFill="1" applyAlignment="1">
      <alignment vertical="center"/>
    </xf>
    <xf numFmtId="0" fontId="27" fillId="5" borderId="0" xfId="0" applyFont="1" applyFill="1" applyBorder="1" applyAlignment="1">
      <alignment horizontal="left" vertical="center"/>
    </xf>
    <xf numFmtId="0" fontId="26" fillId="0" borderId="0" xfId="0" applyFont="1" applyAlignment="1">
      <alignment horizontal="left" vertical="center"/>
    </xf>
    <xf numFmtId="0" fontId="25" fillId="8" borderId="19" xfId="0" applyNumberFormat="1" applyFont="1" applyFill="1" applyBorder="1" applyAlignment="1">
      <alignment horizontal="left" vertical="center"/>
    </xf>
    <xf numFmtId="169" fontId="25" fillId="8" borderId="19" xfId="0" applyNumberFormat="1" applyFont="1" applyFill="1" applyBorder="1" applyAlignment="1">
      <alignment horizontal="left" vertical="center"/>
    </xf>
    <xf numFmtId="0" fontId="25" fillId="8" borderId="19" xfId="0" applyFont="1" applyFill="1"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49" fontId="25" fillId="0" borderId="0" xfId="0" applyNumberFormat="1" applyFont="1" applyFill="1" applyBorder="1" applyAlignment="1">
      <alignment horizontal="left" vertical="center"/>
    </xf>
    <xf numFmtId="14" fontId="26" fillId="0" borderId="0" xfId="0" applyNumberFormat="1" applyFont="1" applyAlignment="1">
      <alignment horizontal="left" vertical="center"/>
    </xf>
    <xf numFmtId="0" fontId="43" fillId="0" borderId="0" xfId="0" applyFont="1" applyAlignment="1">
      <alignment vertical="center"/>
    </xf>
    <xf numFmtId="49" fontId="44" fillId="0" borderId="0" xfId="0" applyNumberFormat="1" applyFont="1" applyAlignment="1">
      <alignment horizontal="left" vertical="center"/>
    </xf>
    <xf numFmtId="0" fontId="43" fillId="0" borderId="0" xfId="0" applyFont="1"/>
    <xf numFmtId="0" fontId="43" fillId="0" borderId="0" xfId="0" applyFont="1" applyAlignment="1">
      <alignment horizontal="left" vertical="center"/>
    </xf>
    <xf numFmtId="0" fontId="26" fillId="0" borderId="9" xfId="0" applyFont="1" applyBorder="1" applyAlignment="1">
      <alignment vertical="top" wrapText="1"/>
    </xf>
    <xf numFmtId="0" fontId="0" fillId="0" borderId="11" xfId="0" applyBorder="1" applyAlignment="1">
      <alignment vertical="top" wrapText="1"/>
    </xf>
    <xf numFmtId="0" fontId="26" fillId="0" borderId="9" xfId="0" applyFont="1" applyBorder="1" applyAlignment="1">
      <alignment horizontal="left" vertical="top" wrapText="1"/>
    </xf>
    <xf numFmtId="0" fontId="26" fillId="0" borderId="11" xfId="0" applyFont="1" applyBorder="1" applyAlignment="1">
      <alignment horizontal="left" vertical="top" wrapText="1"/>
    </xf>
    <xf numFmtId="0" fontId="28" fillId="0" borderId="53" xfId="0" applyFont="1" applyBorder="1" applyAlignment="1">
      <alignment horizontal="center" wrapText="1"/>
    </xf>
    <xf numFmtId="0" fontId="0" fillId="0" borderId="17" xfId="0" applyBorder="1" applyAlignment="1">
      <alignment wrapText="1"/>
    </xf>
    <xf numFmtId="0" fontId="29" fillId="0" borderId="54" xfId="0" applyFont="1" applyBorder="1" applyAlignment="1">
      <alignment horizontal="center" vertical="top" wrapText="1"/>
    </xf>
    <xf numFmtId="0" fontId="0" fillId="0" borderId="1" xfId="0" applyBorder="1" applyAlignment="1">
      <alignment wrapText="1"/>
    </xf>
    <xf numFmtId="0" fontId="25" fillId="0" borderId="59" xfId="0" applyNumberFormat="1" applyFont="1" applyBorder="1" applyAlignment="1">
      <alignment horizontal="center" wrapText="1"/>
    </xf>
    <xf numFmtId="0" fontId="0" fillId="0" borderId="52" xfId="0" applyBorder="1" applyAlignment="1">
      <alignment horizontal="center" wrapText="1"/>
    </xf>
    <xf numFmtId="0" fontId="29" fillId="0" borderId="1" xfId="0" applyNumberFormat="1" applyFont="1" applyBorder="1" applyAlignment="1">
      <alignment horizontal="center" vertical="top" wrapText="1"/>
    </xf>
    <xf numFmtId="49" fontId="28" fillId="0" borderId="17" xfId="0" applyNumberFormat="1" applyFont="1" applyBorder="1" applyAlignment="1">
      <alignment horizontal="center" wrapText="1"/>
    </xf>
    <xf numFmtId="0" fontId="0" fillId="0" borderId="17" xfId="0" applyBorder="1" applyAlignment="1">
      <alignment horizontal="center" wrapText="1"/>
    </xf>
    <xf numFmtId="0" fontId="28" fillId="0" borderId="78" xfId="0" applyNumberFormat="1" applyFont="1" applyBorder="1" applyAlignment="1">
      <alignment horizontal="center" wrapText="1"/>
    </xf>
    <xf numFmtId="0" fontId="28" fillId="0" borderId="79" xfId="0" applyNumberFormat="1" applyFont="1" applyBorder="1" applyAlignment="1">
      <alignment horizontal="center" wrapText="1"/>
    </xf>
    <xf numFmtId="0" fontId="28" fillId="0" borderId="80" xfId="0" applyNumberFormat="1" applyFont="1" applyBorder="1" applyAlignment="1">
      <alignment horizontal="center" wrapText="1"/>
    </xf>
    <xf numFmtId="0" fontId="29" fillId="0" borderId="9" xfId="0" applyFont="1" applyBorder="1" applyAlignment="1">
      <alignment horizontal="center" vertical="top" wrapText="1"/>
    </xf>
    <xf numFmtId="0" fontId="29" fillId="0" borderId="10" xfId="0" applyFont="1" applyBorder="1" applyAlignment="1">
      <alignment horizontal="center" vertical="top" wrapText="1"/>
    </xf>
    <xf numFmtId="0" fontId="29" fillId="0" borderId="81" xfId="0" applyFont="1" applyBorder="1" applyAlignment="1">
      <alignment horizontal="center" vertical="top" wrapText="1"/>
    </xf>
    <xf numFmtId="0" fontId="0" fillId="0" borderId="1" xfId="0" applyBorder="1"/>
    <xf numFmtId="49" fontId="30" fillId="0" borderId="17" xfId="0" applyNumberFormat="1" applyFont="1" applyBorder="1" applyAlignment="1">
      <alignment horizontal="center" wrapText="1"/>
    </xf>
    <xf numFmtId="0" fontId="30" fillId="0" borderId="17" xfId="0" applyFont="1" applyBorder="1" applyAlignment="1">
      <alignment horizontal="center" wrapText="1"/>
    </xf>
    <xf numFmtId="0" fontId="28" fillId="0" borderId="53" xfId="0" applyNumberFormat="1" applyFont="1" applyBorder="1" applyAlignment="1">
      <alignment horizontal="center" wrapText="1"/>
    </xf>
    <xf numFmtId="14" fontId="31" fillId="0" borderId="5" xfId="0" applyNumberFormat="1" applyFont="1" applyBorder="1" applyAlignment="1">
      <alignment horizontal="center" vertical="center" wrapText="1"/>
    </xf>
    <xf numFmtId="14" fontId="31" fillId="0" borderId="15"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1" xfId="0" applyFont="1" applyBorder="1" applyAlignment="1">
      <alignment horizontal="center" vertical="center" wrapText="1"/>
    </xf>
    <xf numFmtId="49" fontId="31" fillId="0" borderId="5"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0" fontId="0" fillId="0" borderId="77" xfId="0" applyBorder="1" applyAlignment="1">
      <alignment horizontal="center" wrapText="1"/>
    </xf>
    <xf numFmtId="0" fontId="28" fillId="0" borderId="82" xfId="0" applyNumberFormat="1" applyFont="1" applyBorder="1" applyAlignment="1">
      <alignment horizontal="center" wrapText="1"/>
    </xf>
    <xf numFmtId="0" fontId="0" fillId="0" borderId="79" xfId="0" applyBorder="1" applyAlignment="1">
      <alignment wrapText="1"/>
    </xf>
    <xf numFmtId="0" fontId="29" fillId="0" borderId="83" xfId="0" applyFont="1" applyBorder="1" applyAlignment="1">
      <alignment horizontal="center" vertical="top" wrapText="1"/>
    </xf>
    <xf numFmtId="0" fontId="0" fillId="0" borderId="10" xfId="0" applyBorder="1" applyAlignment="1">
      <alignment wrapText="1"/>
    </xf>
    <xf numFmtId="0" fontId="28" fillId="0" borderId="17" xfId="0" applyNumberFormat="1" applyFont="1" applyBorder="1" applyAlignment="1">
      <alignment horizontal="center" wrapText="1"/>
    </xf>
    <xf numFmtId="0" fontId="28" fillId="0" borderId="84" xfId="0" applyNumberFormat="1" applyFont="1" applyBorder="1" applyAlignment="1">
      <alignment horizontal="center" wrapText="1"/>
    </xf>
    <xf numFmtId="0" fontId="29" fillId="0" borderId="1" xfId="0" applyFont="1" applyBorder="1" applyAlignment="1">
      <alignment horizontal="center" vertical="top" wrapText="1"/>
    </xf>
    <xf numFmtId="0" fontId="29" fillId="0" borderId="85" xfId="0" applyFont="1" applyBorder="1" applyAlignment="1">
      <alignment horizontal="center" vertical="top" wrapText="1"/>
    </xf>
    <xf numFmtId="0" fontId="0" fillId="0" borderId="52" xfId="0" applyBorder="1" applyAlignment="1">
      <alignment wrapText="1"/>
    </xf>
    <xf numFmtId="0" fontId="0" fillId="0" borderId="77" xfId="0" applyBorder="1" applyAlignment="1">
      <alignment wrapText="1"/>
    </xf>
    <xf numFmtId="0" fontId="5" fillId="2" borderId="1" xfId="0" applyFont="1" applyFill="1" applyBorder="1" applyAlignment="1">
      <alignment horizontal="right" vertical="center"/>
    </xf>
    <xf numFmtId="0" fontId="0" fillId="2" borderId="1" xfId="0" applyFill="1" applyBorder="1" applyAlignment="1">
      <alignment horizontal="right" vertical="center"/>
    </xf>
    <xf numFmtId="14" fontId="31" fillId="0" borderId="1" xfId="0" applyNumberFormat="1" applyFont="1" applyBorder="1" applyAlignment="1">
      <alignment horizontal="center" vertical="center" wrapText="1"/>
    </xf>
    <xf numFmtId="0" fontId="2" fillId="0" borderId="56" xfId="0" applyFont="1" applyBorder="1" applyAlignment="1">
      <alignment horizontal="center" vertical="center"/>
    </xf>
    <xf numFmtId="0" fontId="2" fillId="0" borderId="86" xfId="0" applyFont="1" applyBorder="1" applyAlignment="1">
      <alignment horizontal="center" vertical="center"/>
    </xf>
    <xf numFmtId="49" fontId="25" fillId="0" borderId="87" xfId="0" applyNumberFormat="1" applyFont="1" applyBorder="1" applyAlignment="1">
      <alignment horizontal="center" wrapText="1"/>
    </xf>
    <xf numFmtId="0" fontId="0" fillId="0" borderId="88" xfId="0" applyBorder="1" applyAlignment="1">
      <alignment wrapText="1"/>
    </xf>
    <xf numFmtId="0" fontId="0" fillId="0" borderId="89" xfId="0" applyBorder="1" applyAlignment="1">
      <alignment wrapText="1"/>
    </xf>
    <xf numFmtId="0" fontId="35" fillId="0" borderId="2" xfId="0" applyFont="1" applyBorder="1" applyAlignment="1">
      <alignment horizontal="justify" vertical="top" wrapText="1"/>
    </xf>
    <xf numFmtId="0" fontId="35" fillId="0" borderId="3" xfId="0" applyFont="1" applyBorder="1" applyAlignment="1">
      <alignment horizontal="justify" vertical="top" wrapText="1"/>
    </xf>
    <xf numFmtId="0" fontId="35" fillId="0" borderId="91" xfId="0" applyFont="1" applyBorder="1" applyAlignment="1">
      <alignment horizontal="justify" vertical="top" wrapText="1"/>
    </xf>
    <xf numFmtId="0" fontId="35" fillId="0" borderId="6" xfId="0" applyFont="1" applyBorder="1" applyAlignment="1">
      <alignment horizontal="justify" vertical="top" wrapText="1"/>
    </xf>
    <xf numFmtId="0" fontId="35" fillId="0" borderId="0" xfId="0" applyFont="1" applyBorder="1" applyAlignment="1">
      <alignment horizontal="justify" vertical="top" wrapText="1"/>
    </xf>
    <xf numFmtId="0" fontId="35" fillId="0" borderId="94" xfId="0" applyFont="1" applyBorder="1" applyAlignment="1">
      <alignment horizontal="justify" vertical="top" wrapText="1"/>
    </xf>
    <xf numFmtId="0" fontId="35" fillId="0" borderId="92" xfId="0" applyFont="1" applyBorder="1" applyAlignment="1">
      <alignment horizontal="justify" vertical="top" wrapText="1"/>
    </xf>
    <xf numFmtId="0" fontId="35" fillId="0" borderId="63" xfId="0" applyFont="1" applyBorder="1" applyAlignment="1">
      <alignment horizontal="justify" vertical="top" wrapText="1"/>
    </xf>
    <xf numFmtId="0" fontId="35" fillId="0" borderId="93" xfId="0" applyFont="1" applyBorder="1" applyAlignment="1">
      <alignment horizontal="justify" vertical="top" wrapText="1"/>
    </xf>
    <xf numFmtId="0" fontId="2" fillId="4" borderId="17" xfId="0" applyFont="1" applyFill="1" applyBorder="1" applyAlignment="1">
      <alignment horizontal="justify" vertical="top" wrapText="1"/>
    </xf>
    <xf numFmtId="0" fontId="2" fillId="4" borderId="84" xfId="0" applyFont="1" applyFill="1" applyBorder="1" applyAlignment="1">
      <alignment horizontal="justify" vertical="top" wrapText="1"/>
    </xf>
    <xf numFmtId="0" fontId="35" fillId="0" borderId="1" xfId="0" applyFont="1" applyBorder="1" applyAlignment="1">
      <alignment horizontal="justify" vertical="top" wrapText="1"/>
    </xf>
    <xf numFmtId="0" fontId="35" fillId="0" borderId="85" xfId="0" applyFont="1" applyBorder="1" applyAlignment="1">
      <alignment horizontal="justify" vertical="top" wrapText="1"/>
    </xf>
    <xf numFmtId="0" fontId="4" fillId="4" borderId="82" xfId="0" applyFont="1" applyFill="1" applyBorder="1" applyAlignment="1">
      <alignment horizontal="left" vertical="center" wrapText="1"/>
    </xf>
    <xf numFmtId="0" fontId="4" fillId="4" borderId="79"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17" fillId="7" borderId="5"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0" fillId="4" borderId="17" xfId="0" applyFill="1" applyBorder="1" applyAlignment="1">
      <alignment horizontal="center"/>
    </xf>
    <xf numFmtId="0" fontId="0" fillId="4" borderId="84" xfId="0" applyFill="1" applyBorder="1" applyAlignment="1">
      <alignment horizontal="center"/>
    </xf>
    <xf numFmtId="0" fontId="35" fillId="0" borderId="52" xfId="0" applyFont="1" applyBorder="1" applyAlignment="1">
      <alignment horizontal="justify" vertical="top" wrapText="1"/>
    </xf>
    <xf numFmtId="0" fontId="35" fillId="0" borderId="77" xfId="0" applyFont="1" applyBorder="1" applyAlignment="1">
      <alignment horizontal="justify" vertical="top" wrapText="1"/>
    </xf>
    <xf numFmtId="0" fontId="35" fillId="0" borderId="9" xfId="0" applyFont="1" applyBorder="1" applyAlignment="1">
      <alignment horizontal="justify" vertical="top" wrapText="1"/>
    </xf>
    <xf numFmtId="0" fontId="35" fillId="0" borderId="10" xfId="0" applyFont="1" applyBorder="1" applyAlignment="1">
      <alignment horizontal="justify" vertical="top" wrapText="1"/>
    </xf>
    <xf numFmtId="0" fontId="35" fillId="0" borderId="81" xfId="0" applyFont="1" applyBorder="1" applyAlignment="1">
      <alignment horizontal="justify" vertical="top" wrapText="1"/>
    </xf>
    <xf numFmtId="0" fontId="35" fillId="0" borderId="2" xfId="0" applyFont="1" applyBorder="1" applyAlignment="1">
      <alignment horizontal="justify" vertical="top"/>
    </xf>
    <xf numFmtId="0" fontId="35" fillId="0" borderId="3" xfId="0" applyFont="1" applyBorder="1" applyAlignment="1">
      <alignment horizontal="justify" vertical="top"/>
    </xf>
    <xf numFmtId="0" fontId="35" fillId="0" borderId="91" xfId="0" applyFont="1" applyBorder="1" applyAlignment="1">
      <alignment horizontal="justify" vertical="top"/>
    </xf>
    <xf numFmtId="0" fontId="35" fillId="0" borderId="6" xfId="0" applyFont="1" applyBorder="1" applyAlignment="1">
      <alignment horizontal="justify" vertical="top"/>
    </xf>
    <xf numFmtId="0" fontId="35" fillId="0" borderId="0" xfId="0" applyFont="1" applyBorder="1" applyAlignment="1">
      <alignment horizontal="justify" vertical="top"/>
    </xf>
    <xf numFmtId="0" fontId="35" fillId="0" borderId="94" xfId="0" applyFont="1" applyBorder="1" applyAlignment="1">
      <alignment horizontal="justify" vertical="top"/>
    </xf>
    <xf numFmtId="0" fontId="35" fillId="0" borderId="18" xfId="0" applyFont="1" applyBorder="1" applyAlignment="1">
      <alignment horizontal="justify" vertical="top"/>
    </xf>
    <xf numFmtId="0" fontId="35" fillId="0" borderId="30" xfId="0" applyFont="1" applyBorder="1" applyAlignment="1">
      <alignment horizontal="justify" vertical="top"/>
    </xf>
    <xf numFmtId="0" fontId="35" fillId="0" borderId="95" xfId="0" applyFont="1" applyBorder="1" applyAlignment="1">
      <alignment horizontal="justify" vertical="top"/>
    </xf>
    <xf numFmtId="0" fontId="35" fillId="0" borderId="92" xfId="0" applyFont="1" applyBorder="1" applyAlignment="1">
      <alignment horizontal="justify" vertical="top"/>
    </xf>
    <xf numFmtId="0" fontId="35" fillId="0" borderId="63" xfId="0" applyFont="1" applyBorder="1" applyAlignment="1">
      <alignment horizontal="justify" vertical="top"/>
    </xf>
    <xf numFmtId="0" fontId="35" fillId="0" borderId="93" xfId="0" applyFont="1" applyBorder="1" applyAlignment="1">
      <alignment horizontal="justify" vertical="top"/>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91" xfId="0" applyFont="1" applyBorder="1" applyAlignment="1">
      <alignment horizontal="justify" vertical="top" wrapText="1"/>
    </xf>
    <xf numFmtId="0" fontId="3" fillId="0" borderId="18" xfId="0" applyFont="1" applyBorder="1" applyAlignment="1">
      <alignment horizontal="justify" vertical="top" wrapText="1"/>
    </xf>
    <xf numFmtId="0" fontId="3" fillId="0" borderId="30" xfId="0" applyFont="1" applyBorder="1" applyAlignment="1">
      <alignment horizontal="justify" vertical="top" wrapText="1"/>
    </xf>
    <xf numFmtId="0" fontId="3" fillId="0" borderId="95" xfId="0" applyFont="1" applyBorder="1" applyAlignment="1">
      <alignment horizontal="justify" vertical="top" wrapText="1"/>
    </xf>
    <xf numFmtId="0" fontId="35" fillId="0" borderId="18" xfId="0" applyFont="1" applyBorder="1" applyAlignment="1">
      <alignment horizontal="justify" vertical="top" wrapText="1"/>
    </xf>
    <xf numFmtId="0" fontId="35" fillId="0" borderId="30" xfId="0" applyFont="1" applyBorder="1" applyAlignment="1">
      <alignment horizontal="justify" vertical="top" wrapText="1"/>
    </xf>
    <xf numFmtId="0" fontId="35" fillId="0" borderId="95" xfId="0" applyFont="1" applyBorder="1" applyAlignment="1">
      <alignment horizontal="justify" vertical="top" wrapText="1"/>
    </xf>
    <xf numFmtId="0" fontId="6" fillId="0" borderId="9" xfId="0" applyFont="1" applyBorder="1" applyAlignment="1">
      <alignment vertical="top" wrapText="1"/>
    </xf>
    <xf numFmtId="0" fontId="29" fillId="0" borderId="32" xfId="0" applyFont="1" applyBorder="1" applyAlignment="1">
      <alignment horizontal="center" vertical="top" wrapText="1"/>
    </xf>
    <xf numFmtId="0" fontId="25" fillId="0" borderId="31" xfId="0" applyNumberFormat="1" applyFont="1" applyBorder="1" applyAlignment="1">
      <alignment horizontal="center" wrapText="1"/>
    </xf>
    <xf numFmtId="0" fontId="29" fillId="0" borderId="32" xfId="0" applyNumberFormat="1" applyFont="1" applyBorder="1" applyAlignment="1">
      <alignment horizontal="center" vertical="top" wrapText="1"/>
    </xf>
    <xf numFmtId="0" fontId="29" fillId="0" borderId="57" xfId="0" applyNumberFormat="1" applyFont="1" applyBorder="1" applyAlignment="1">
      <alignment horizontal="center" vertical="top"/>
    </xf>
    <xf numFmtId="0" fontId="29" fillId="0" borderId="76" xfId="0" applyNumberFormat="1" applyFont="1" applyBorder="1" applyAlignment="1">
      <alignment horizontal="center" vertical="top"/>
    </xf>
    <xf numFmtId="0" fontId="28" fillId="0" borderId="31" xfId="0" applyNumberFormat="1" applyFont="1" applyBorder="1" applyAlignment="1">
      <alignment horizontal="center" wrapText="1"/>
    </xf>
    <xf numFmtId="168" fontId="25" fillId="8" borderId="31" xfId="0" applyNumberFormat="1" applyFont="1" applyFill="1" applyBorder="1" applyAlignment="1">
      <alignment horizontal="center" wrapText="1"/>
    </xf>
    <xf numFmtId="49" fontId="25" fillId="0" borderId="31" xfId="0" applyNumberFormat="1" applyFont="1" applyBorder="1" applyAlignment="1">
      <alignment horizontal="center" wrapText="1"/>
    </xf>
    <xf numFmtId="0" fontId="25" fillId="0" borderId="73" xfId="0" applyNumberFormat="1" applyFont="1" applyBorder="1" applyAlignment="1">
      <alignment horizontal="center"/>
    </xf>
    <xf numFmtId="0" fontId="25" fillId="0" borderId="72" xfId="0" applyNumberFormat="1" applyFont="1" applyBorder="1" applyAlignment="1">
      <alignment horizont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1" xfId="0" applyFont="1" applyBorder="1" applyAlignment="1">
      <alignment horizontal="left" vertical="center"/>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9" fillId="0" borderId="54" xfId="0" applyNumberFormat="1" applyFont="1" applyBorder="1" applyAlignment="1">
      <alignment horizontal="center" vertical="top" wrapText="1"/>
    </xf>
    <xf numFmtId="0" fontId="29" fillId="0" borderId="85" xfId="0" applyNumberFormat="1" applyFont="1" applyBorder="1" applyAlignment="1">
      <alignment horizontal="center" vertical="top" wrapText="1"/>
    </xf>
    <xf numFmtId="0" fontId="2" fillId="0" borderId="1" xfId="0" applyFont="1" applyBorder="1" applyAlignment="1">
      <alignment horizontal="center" vertical="center"/>
    </xf>
    <xf numFmtId="0" fontId="18" fillId="0" borderId="5" xfId="0" applyFont="1" applyBorder="1" applyAlignment="1">
      <alignment horizontal="left" vertical="center" wrapText="1"/>
    </xf>
    <xf numFmtId="0" fontId="3" fillId="0" borderId="8" xfId="0" applyFont="1" applyBorder="1" applyAlignment="1">
      <alignment horizontal="left" vertical="center" wrapText="1"/>
    </xf>
  </cellXfs>
  <cellStyles count="3">
    <cellStyle name="Гиперссылка" xfId="1" builtinId="8"/>
    <cellStyle name="Обычный" xfId="0" builtinId="0"/>
    <cellStyle name="Процентный" xfId="2" builtinId="5"/>
  </cellStyles>
  <dxfs count="9">
    <dxf>
      <font>
        <condense val="0"/>
        <extend val="0"/>
        <color indexed="9"/>
      </font>
    </dxf>
    <dxf>
      <font>
        <condense val="0"/>
        <extend val="0"/>
        <color indexed="9"/>
      </font>
    </dxf>
    <dxf>
      <font>
        <condense val="0"/>
        <extend val="0"/>
        <color indexed="9"/>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9"/>
      </font>
      <fill>
        <patternFill patternType="none">
          <bgColor indexed="65"/>
        </patternFill>
      </fill>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19050</xdr:rowOff>
    </xdr:from>
    <xdr:to>
      <xdr:col>1</xdr:col>
      <xdr:colOff>400050</xdr:colOff>
      <xdr:row>0</xdr:row>
      <xdr:rowOff>238125</xdr:rowOff>
    </xdr:to>
    <xdr:pic>
      <xdr:nvPicPr>
        <xdr:cNvPr id="10245"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9050"/>
          <a:ext cx="447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4"/>
  <sheetViews>
    <sheetView tabSelected="1" zoomScale="150" zoomScaleNormal="150" workbookViewId="0">
      <pane xSplit="3" ySplit="1" topLeftCell="D2" activePane="bottomRight" state="frozenSplit"/>
      <selection pane="topRight" activeCell="Q1" sqref="Q1"/>
      <selection pane="bottomLeft" activeCell="A2" sqref="A2"/>
      <selection pane="bottomRight"/>
    </sheetView>
  </sheetViews>
  <sheetFormatPr defaultRowHeight="12.75" x14ac:dyDescent="0.2"/>
  <cols>
    <col min="1" max="1" width="3.5" customWidth="1"/>
    <col min="2" max="2" width="30.5" style="3" customWidth="1"/>
    <col min="3" max="3" width="37.83203125" style="477" customWidth="1"/>
  </cols>
  <sheetData>
    <row r="1" spans="2:3" ht="19.5" x14ac:dyDescent="0.2">
      <c r="B1" s="471" t="s">
        <v>188</v>
      </c>
      <c r="C1" s="472"/>
    </row>
    <row r="2" spans="2:3" ht="19.5" thickBot="1" x14ac:dyDescent="0.25">
      <c r="B2" s="470"/>
      <c r="C2" s="473"/>
    </row>
    <row r="3" spans="2:3" ht="15.75" thickBot="1" x14ac:dyDescent="0.25">
      <c r="B3" s="468" t="s">
        <v>269</v>
      </c>
      <c r="C3" s="474" t="s">
        <v>315</v>
      </c>
    </row>
    <row r="4" spans="2:3" s="483" customFormat="1" ht="24" thickBot="1" x14ac:dyDescent="0.4">
      <c r="B4" s="481"/>
      <c r="C4" s="482"/>
    </row>
    <row r="5" spans="2:3" ht="15.75" thickBot="1" x14ac:dyDescent="0.25">
      <c r="B5" s="468" t="s">
        <v>187</v>
      </c>
      <c r="C5" s="475" t="s">
        <v>327</v>
      </c>
    </row>
    <row r="6" spans="2:3" s="483" customFormat="1" ht="24" thickBot="1" x14ac:dyDescent="0.4">
      <c r="B6" s="481"/>
      <c r="C6" s="482"/>
    </row>
    <row r="7" spans="2:3" ht="15.75" thickBot="1" x14ac:dyDescent="0.25">
      <c r="B7" s="468" t="s">
        <v>270</v>
      </c>
      <c r="C7" s="476" t="s">
        <v>188</v>
      </c>
    </row>
    <row r="8" spans="2:3" s="483" customFormat="1" ht="24" thickBot="1" x14ac:dyDescent="0.4">
      <c r="B8" s="481"/>
      <c r="C8" s="484"/>
    </row>
    <row r="9" spans="2:3" ht="15.75" thickBot="1" x14ac:dyDescent="0.25">
      <c r="B9" s="3" t="s">
        <v>191</v>
      </c>
      <c r="C9" s="475" t="s">
        <v>328</v>
      </c>
    </row>
    <row r="10" spans="2:3" x14ac:dyDescent="0.2">
      <c r="B10" s="469"/>
      <c r="C10" s="478"/>
    </row>
    <row r="11" spans="2:3" ht="15" x14ac:dyDescent="0.2">
      <c r="B11" s="469"/>
      <c r="C11" s="479"/>
    </row>
    <row r="12" spans="2:3" x14ac:dyDescent="0.2">
      <c r="B12" s="469"/>
      <c r="C12" s="478"/>
    </row>
    <row r="13" spans="2:3" ht="15" x14ac:dyDescent="0.2">
      <c r="B13" s="469"/>
      <c r="C13" s="479"/>
    </row>
    <row r="16" spans="2:3" x14ac:dyDescent="0.2">
      <c r="B16" s="468"/>
    </row>
    <row r="17" spans="2:3" x14ac:dyDescent="0.2">
      <c r="B17" s="468"/>
    </row>
    <row r="18" spans="2:3" x14ac:dyDescent="0.2">
      <c r="B18" s="468"/>
    </row>
    <row r="19" spans="2:3" x14ac:dyDescent="0.2">
      <c r="B19" s="468"/>
    </row>
    <row r="20" spans="2:3" x14ac:dyDescent="0.2">
      <c r="B20" s="468"/>
    </row>
    <row r="21" spans="2:3" x14ac:dyDescent="0.2">
      <c r="B21" s="468"/>
    </row>
    <row r="22" spans="2:3" x14ac:dyDescent="0.2">
      <c r="B22" s="468"/>
    </row>
    <row r="23" spans="2:3" x14ac:dyDescent="0.2">
      <c r="B23" s="468"/>
      <c r="C23" s="480"/>
    </row>
    <row r="25" spans="2:3" x14ac:dyDescent="0.2">
      <c r="B25" s="468"/>
    </row>
    <row r="29" spans="2:3" x14ac:dyDescent="0.2">
      <c r="B29" s="468"/>
    </row>
    <row r="31" spans="2:3" x14ac:dyDescent="0.2">
      <c r="B31" s="468"/>
    </row>
    <row r="32" spans="2:3" x14ac:dyDescent="0.2">
      <c r="B32" s="468"/>
    </row>
    <row r="33" spans="2:2" x14ac:dyDescent="0.2">
      <c r="B33" s="468"/>
    </row>
    <row r="34" spans="2:2" x14ac:dyDescent="0.2">
      <c r="B34" s="468"/>
    </row>
  </sheetData>
  <phoneticPr fontId="0" type="noConversion"/>
  <dataValidations count="1">
    <dataValidation type="list" allowBlank="1" showInputMessage="1" showErrorMessage="1" sqref="C7">
      <formula1>#REF!</formula1>
    </dataValidation>
  </dataValidations>
  <pageMargins left="0.75" right="0.75" top="0.61" bottom="0.8" header="0.5" footer="0.5"/>
  <pageSetup paperSize="9" scale="92" orientation="landscape" r:id="rId1"/>
  <headerFooter alignWithMargins="0"/>
  <rowBreaks count="1" manualBreakCount="1">
    <brk id="15"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pane xSplit="9" ySplit="2" topLeftCell="J3" activePane="bottomRight" state="frozenSplit"/>
      <selection activeCell="A15" sqref="A15:B15"/>
      <selection pane="topRight" activeCell="A15" sqref="A15:B15"/>
      <selection pane="bottomLeft" activeCell="A15" sqref="A15:B15"/>
      <selection pane="bottomRight"/>
    </sheetView>
  </sheetViews>
  <sheetFormatPr defaultRowHeight="12.75" x14ac:dyDescent="0.2"/>
  <cols>
    <col min="1" max="1" width="8" customWidth="1"/>
    <col min="2" max="2" width="20.83203125" customWidth="1"/>
    <col min="3" max="3" width="18.33203125" customWidth="1"/>
    <col min="4" max="4" width="7.33203125" customWidth="1"/>
    <col min="5" max="5" width="16.5" customWidth="1"/>
    <col min="6" max="6" width="16.33203125" customWidth="1"/>
    <col min="7" max="7" width="10.33203125" customWidth="1"/>
    <col min="8" max="8" width="12.5" customWidth="1"/>
    <col min="9" max="11" width="9.1640625" customWidth="1"/>
  </cols>
  <sheetData>
    <row r="1" spans="1:9" ht="13.5" thickBot="1" x14ac:dyDescent="0.25"/>
    <row r="2" spans="1:9" ht="37.5" customHeight="1" x14ac:dyDescent="0.25">
      <c r="A2" s="31"/>
      <c r="B2" s="489" t="str">
        <f>Inform.ievad.!C3</f>
        <v>SIA"Daugavpils autobusu parks"</v>
      </c>
      <c r="C2" s="490"/>
      <c r="D2" s="490"/>
      <c r="E2" s="490"/>
      <c r="F2" s="496" t="str">
        <f>Inform.ievad.!C5</f>
        <v>2018. gads</v>
      </c>
      <c r="G2" s="497"/>
      <c r="H2" s="456" t="str">
        <f>Inform.ievad.!C7</f>
        <v>Finanšu analīze</v>
      </c>
      <c r="I2" s="389"/>
    </row>
    <row r="3" spans="1:9" ht="10.5" customHeight="1" x14ac:dyDescent="0.2">
      <c r="A3" s="202"/>
      <c r="B3" s="491" t="s">
        <v>271</v>
      </c>
      <c r="C3" s="492"/>
      <c r="D3" s="492"/>
      <c r="E3" s="492"/>
      <c r="F3" s="495" t="s">
        <v>171</v>
      </c>
      <c r="G3" s="495"/>
      <c r="H3" s="457" t="s">
        <v>272</v>
      </c>
    </row>
    <row r="4" spans="1:9" ht="19.5" customHeight="1" thickBot="1" x14ac:dyDescent="0.3">
      <c r="A4" s="202"/>
      <c r="B4" s="493" t="s">
        <v>314</v>
      </c>
      <c r="C4" s="494"/>
      <c r="D4" s="494"/>
      <c r="E4" s="494"/>
      <c r="F4" s="494"/>
      <c r="G4" s="494"/>
      <c r="H4" s="494"/>
    </row>
    <row r="5" spans="1:9" s="218" customFormat="1" ht="27" customHeight="1" x14ac:dyDescent="0.25">
      <c r="B5" s="246" t="s">
        <v>274</v>
      </c>
      <c r="D5" s="247"/>
      <c r="E5" s="248"/>
      <c r="F5" s="248"/>
      <c r="G5" s="248"/>
    </row>
    <row r="6" spans="1:9" ht="38.25" x14ac:dyDescent="0.2">
      <c r="A6" s="4" t="s">
        <v>64</v>
      </c>
      <c r="B6" s="203" t="s">
        <v>65</v>
      </c>
      <c r="C6" s="204"/>
      <c r="D6" s="4"/>
      <c r="E6" s="467" t="s">
        <v>325</v>
      </c>
      <c r="F6" s="467" t="s">
        <v>322</v>
      </c>
      <c r="G6" s="235" t="s">
        <v>196</v>
      </c>
      <c r="H6" s="129" t="s">
        <v>197</v>
      </c>
    </row>
    <row r="7" spans="1:9" s="33" customFormat="1" ht="9.75" customHeight="1" x14ac:dyDescent="0.2">
      <c r="A7" s="32">
        <v>1</v>
      </c>
      <c r="B7" s="205">
        <v>2</v>
      </c>
      <c r="C7" s="206"/>
      <c r="D7" s="32">
        <v>3</v>
      </c>
      <c r="E7" s="32">
        <v>4</v>
      </c>
      <c r="F7" s="32">
        <v>5</v>
      </c>
      <c r="G7" s="32">
        <v>6</v>
      </c>
      <c r="H7" s="32">
        <v>7</v>
      </c>
    </row>
    <row r="8" spans="1:9" s="216" customFormat="1" ht="17.25" customHeight="1" x14ac:dyDescent="0.2">
      <c r="A8" s="365">
        <v>1</v>
      </c>
      <c r="B8" s="485" t="s">
        <v>66</v>
      </c>
      <c r="C8" s="486"/>
      <c r="D8" s="365"/>
      <c r="E8" s="362">
        <v>1997081</v>
      </c>
      <c r="F8" s="362">
        <v>1994768</v>
      </c>
      <c r="G8" s="368">
        <f>E8-F8</f>
        <v>2313</v>
      </c>
      <c r="H8" s="369">
        <f>E8/F8*100-100</f>
        <v>0.1</v>
      </c>
    </row>
    <row r="9" spans="1:9" s="216" customFormat="1" ht="16.5" customHeight="1" x14ac:dyDescent="0.2">
      <c r="A9" s="365">
        <v>2</v>
      </c>
      <c r="B9" s="485" t="s">
        <v>67</v>
      </c>
      <c r="C9" s="486"/>
      <c r="D9" s="365"/>
      <c r="E9" s="362">
        <v>4325660</v>
      </c>
      <c r="F9" s="362">
        <v>3995420</v>
      </c>
      <c r="G9" s="368">
        <f t="shared" ref="G9:G25" si="0">E9-F9</f>
        <v>330240</v>
      </c>
      <c r="H9" s="369">
        <f t="shared" ref="H9:H25" si="1">E9/F9*100-100</f>
        <v>8.3000000000000007</v>
      </c>
    </row>
    <row r="10" spans="1:9" s="216" customFormat="1" ht="16.5" customHeight="1" x14ac:dyDescent="0.2">
      <c r="A10" s="365">
        <v>3</v>
      </c>
      <c r="B10" s="485" t="s">
        <v>68</v>
      </c>
      <c r="C10" s="486"/>
      <c r="D10" s="370"/>
      <c r="E10" s="371">
        <f>SUM(E8-E9)</f>
        <v>-2328579</v>
      </c>
      <c r="F10" s="371">
        <f>SUM(F8-F9)</f>
        <v>-2000652</v>
      </c>
      <c r="G10" s="372">
        <f t="shared" si="0"/>
        <v>-327927</v>
      </c>
      <c r="H10" s="373">
        <f t="shared" si="1"/>
        <v>16.399999999999999</v>
      </c>
    </row>
    <row r="11" spans="1:9" s="216" customFormat="1" ht="16.5" customHeight="1" x14ac:dyDescent="0.2">
      <c r="A11" s="365">
        <v>4</v>
      </c>
      <c r="B11" s="485" t="s">
        <v>69</v>
      </c>
      <c r="C11" s="486"/>
      <c r="D11" s="365"/>
      <c r="E11" s="362"/>
      <c r="F11" s="362"/>
      <c r="G11" s="368">
        <f t="shared" si="0"/>
        <v>0</v>
      </c>
      <c r="H11" s="369" t="e">
        <f t="shared" si="1"/>
        <v>#DIV/0!</v>
      </c>
    </row>
    <row r="12" spans="1:9" s="216" customFormat="1" ht="16.5" customHeight="1" x14ac:dyDescent="0.2">
      <c r="A12" s="365">
        <v>5</v>
      </c>
      <c r="B12" s="485" t="s">
        <v>70</v>
      </c>
      <c r="C12" s="486"/>
      <c r="D12" s="365"/>
      <c r="E12" s="437">
        <v>313309</v>
      </c>
      <c r="F12" s="437">
        <v>287100</v>
      </c>
      <c r="G12" s="368">
        <f t="shared" si="0"/>
        <v>26209</v>
      </c>
      <c r="H12" s="369">
        <f t="shared" si="1"/>
        <v>9.1</v>
      </c>
    </row>
    <row r="13" spans="1:9" s="216" customFormat="1" ht="18" customHeight="1" x14ac:dyDescent="0.2">
      <c r="A13" s="365">
        <v>6</v>
      </c>
      <c r="B13" s="487" t="s">
        <v>275</v>
      </c>
      <c r="C13" s="488"/>
      <c r="D13" s="365"/>
      <c r="E13" s="362">
        <v>2954016</v>
      </c>
      <c r="F13" s="362">
        <v>2805356</v>
      </c>
      <c r="G13" s="368">
        <f t="shared" si="0"/>
        <v>148660</v>
      </c>
      <c r="H13" s="369">
        <f t="shared" si="1"/>
        <v>5.3</v>
      </c>
    </row>
    <row r="14" spans="1:9" s="216" customFormat="1" ht="18" customHeight="1" x14ac:dyDescent="0.2">
      <c r="A14" s="365">
        <v>7</v>
      </c>
      <c r="B14" s="487" t="s">
        <v>276</v>
      </c>
      <c r="C14" s="488"/>
      <c r="D14" s="365"/>
      <c r="E14" s="362">
        <v>259447</v>
      </c>
      <c r="F14" s="362">
        <v>259730</v>
      </c>
      <c r="G14" s="368">
        <f t="shared" si="0"/>
        <v>-283</v>
      </c>
      <c r="H14" s="369">
        <f t="shared" si="1"/>
        <v>-0.1</v>
      </c>
    </row>
    <row r="15" spans="1:9" s="216" customFormat="1" ht="25.5" customHeight="1" x14ac:dyDescent="0.2">
      <c r="A15" s="365">
        <v>8</v>
      </c>
      <c r="B15" s="487" t="s">
        <v>277</v>
      </c>
      <c r="C15" s="488"/>
      <c r="D15" s="365"/>
      <c r="E15" s="362"/>
      <c r="F15" s="362"/>
      <c r="G15" s="368">
        <f t="shared" si="0"/>
        <v>0</v>
      </c>
      <c r="H15" s="369" t="e">
        <f t="shared" si="1"/>
        <v>#DIV/0!</v>
      </c>
    </row>
    <row r="16" spans="1:9" s="216" customFormat="1" ht="40.5" customHeight="1" x14ac:dyDescent="0.2">
      <c r="A16" s="365">
        <v>9</v>
      </c>
      <c r="B16" s="487" t="s">
        <v>74</v>
      </c>
      <c r="C16" s="488"/>
      <c r="D16" s="365"/>
      <c r="E16" s="362"/>
      <c r="F16" s="362"/>
      <c r="G16" s="368">
        <f t="shared" si="0"/>
        <v>0</v>
      </c>
      <c r="H16" s="369" t="e">
        <f t="shared" si="1"/>
        <v>#DIV/0!</v>
      </c>
    </row>
    <row r="17" spans="1:13" s="216" customFormat="1" ht="27.75" customHeight="1" x14ac:dyDescent="0.2">
      <c r="A17" s="365">
        <v>10</v>
      </c>
      <c r="B17" s="485" t="s">
        <v>75</v>
      </c>
      <c r="C17" s="486"/>
      <c r="D17" s="365"/>
      <c r="E17" s="362"/>
      <c r="F17" s="362"/>
      <c r="G17" s="368">
        <f t="shared" si="0"/>
        <v>0</v>
      </c>
      <c r="H17" s="369" t="e">
        <f t="shared" si="1"/>
        <v>#DIV/0!</v>
      </c>
    </row>
    <row r="18" spans="1:13" s="216" customFormat="1" ht="28.5" customHeight="1" x14ac:dyDescent="0.2">
      <c r="A18" s="365">
        <v>11</v>
      </c>
      <c r="B18" s="487" t="s">
        <v>76</v>
      </c>
      <c r="C18" s="488"/>
      <c r="D18" s="365"/>
      <c r="E18" s="362"/>
      <c r="F18" s="362"/>
      <c r="G18" s="368">
        <f t="shared" si="0"/>
        <v>0</v>
      </c>
      <c r="H18" s="369" t="e">
        <f t="shared" si="1"/>
        <v>#DIV/0!</v>
      </c>
    </row>
    <row r="19" spans="1:13" s="216" customFormat="1" ht="29.25" customHeight="1" x14ac:dyDescent="0.2">
      <c r="A19" s="365">
        <v>12</v>
      </c>
      <c r="B19" s="485" t="s">
        <v>77</v>
      </c>
      <c r="C19" s="486"/>
      <c r="D19" s="365"/>
      <c r="E19" s="362">
        <v>13181</v>
      </c>
      <c r="F19" s="362">
        <v>15792</v>
      </c>
      <c r="G19" s="368">
        <f t="shared" si="0"/>
        <v>-2611</v>
      </c>
      <c r="H19" s="369">
        <f t="shared" si="1"/>
        <v>-16.5</v>
      </c>
      <c r="L19" s="437"/>
      <c r="M19" s="437"/>
    </row>
    <row r="20" spans="1:13" s="216" customFormat="1" ht="28.5" customHeight="1" x14ac:dyDescent="0.2">
      <c r="A20" s="365">
        <v>13</v>
      </c>
      <c r="B20" s="487" t="s">
        <v>78</v>
      </c>
      <c r="C20" s="488"/>
      <c r="D20" s="370"/>
      <c r="E20" s="371">
        <f>SUM(E10-E11-E12+E13-E14+E15+E16+E17-E18-E19)</f>
        <v>39500</v>
      </c>
      <c r="F20" s="371">
        <f>SUM(F10-F11-F12+F13-F14+F15+F16+F17-F18-F19)</f>
        <v>242082</v>
      </c>
      <c r="G20" s="372">
        <f t="shared" si="0"/>
        <v>-202582</v>
      </c>
      <c r="H20" s="373">
        <f t="shared" si="1"/>
        <v>-83.7</v>
      </c>
    </row>
    <row r="21" spans="1:13" s="216" customFormat="1" ht="15.75" customHeight="1" x14ac:dyDescent="0.2">
      <c r="A21" s="365">
        <v>14</v>
      </c>
      <c r="B21" s="366" t="s">
        <v>79</v>
      </c>
      <c r="C21" s="367"/>
      <c r="D21" s="365"/>
      <c r="E21" s="362"/>
      <c r="F21" s="362"/>
      <c r="G21" s="368">
        <f t="shared" si="0"/>
        <v>0</v>
      </c>
      <c r="H21" s="369" t="e">
        <f t="shared" si="1"/>
        <v>#DIV/0!</v>
      </c>
    </row>
    <row r="22" spans="1:13" s="216" customFormat="1" ht="15.75" customHeight="1" x14ac:dyDescent="0.2">
      <c r="A22" s="365">
        <v>15</v>
      </c>
      <c r="B22" s="366" t="s">
        <v>80</v>
      </c>
      <c r="C22" s="367"/>
      <c r="D22" s="365"/>
      <c r="E22" s="362"/>
      <c r="F22" s="362"/>
      <c r="G22" s="368">
        <f t="shared" si="0"/>
        <v>0</v>
      </c>
      <c r="H22" s="369" t="e">
        <f t="shared" si="1"/>
        <v>#DIV/0!</v>
      </c>
    </row>
    <row r="23" spans="1:13" s="216" customFormat="1" ht="15.75" customHeight="1" x14ac:dyDescent="0.2">
      <c r="A23" s="365">
        <v>16</v>
      </c>
      <c r="B23" s="485" t="s">
        <v>81</v>
      </c>
      <c r="C23" s="486"/>
      <c r="D23" s="370"/>
      <c r="E23" s="371">
        <f>SUM(E20+E21-E22)</f>
        <v>39500</v>
      </c>
      <c r="F23" s="371">
        <f>SUM(F20+F21-F22)</f>
        <v>242082</v>
      </c>
      <c r="G23" s="372">
        <f t="shared" si="0"/>
        <v>-202582</v>
      </c>
      <c r="H23" s="373">
        <f t="shared" si="1"/>
        <v>-83.7</v>
      </c>
    </row>
    <row r="24" spans="1:13" s="216" customFormat="1" ht="27.75" customHeight="1" x14ac:dyDescent="0.2">
      <c r="A24" s="365">
        <v>17</v>
      </c>
      <c r="B24" s="485" t="s">
        <v>324</v>
      </c>
      <c r="C24" s="486"/>
      <c r="D24" s="365"/>
      <c r="E24" s="362"/>
      <c r="F24" s="362">
        <v>9171</v>
      </c>
      <c r="G24" s="368">
        <f t="shared" si="0"/>
        <v>-9171</v>
      </c>
      <c r="H24" s="369">
        <f t="shared" si="1"/>
        <v>-100</v>
      </c>
    </row>
    <row r="25" spans="1:13" s="216" customFormat="1" ht="15.75" customHeight="1" x14ac:dyDescent="0.2">
      <c r="A25" s="365">
        <v>18</v>
      </c>
      <c r="B25" s="485" t="s">
        <v>83</v>
      </c>
      <c r="C25" s="486"/>
      <c r="D25" s="365"/>
      <c r="E25" s="362"/>
      <c r="F25" s="362"/>
      <c r="G25" s="368">
        <f t="shared" si="0"/>
        <v>0</v>
      </c>
      <c r="H25" s="369" t="e">
        <f t="shared" si="1"/>
        <v>#DIV/0!</v>
      </c>
    </row>
    <row r="26" spans="1:13" s="216" customFormat="1" ht="28.5" customHeight="1" x14ac:dyDescent="0.2">
      <c r="A26" s="365">
        <v>19</v>
      </c>
      <c r="B26" s="485" t="s">
        <v>278</v>
      </c>
      <c r="C26" s="486"/>
      <c r="D26" s="370"/>
      <c r="E26" s="371">
        <f>SUM(E23-E24-E25)</f>
        <v>39500</v>
      </c>
      <c r="F26" s="371">
        <f>SUM(F23-F24-F25)</f>
        <v>232911</v>
      </c>
      <c r="G26" s="372">
        <f>E26-F26</f>
        <v>-193411</v>
      </c>
      <c r="H26" s="373">
        <f>E26/F26*100-100</f>
        <v>-83</v>
      </c>
    </row>
    <row r="27" spans="1:13" s="320" customFormat="1" x14ac:dyDescent="0.2">
      <c r="A27" s="364"/>
      <c r="B27" s="360"/>
      <c r="C27" s="361"/>
      <c r="D27" s="364"/>
      <c r="E27" s="364"/>
      <c r="F27" s="364"/>
      <c r="G27" s="363"/>
      <c r="H27" s="363"/>
    </row>
    <row r="28" spans="1:13" ht="13.5" thickBot="1" x14ac:dyDescent="0.25"/>
    <row r="29" spans="1:13" ht="13.5" thickTop="1" x14ac:dyDescent="0.2">
      <c r="C29" s="159"/>
      <c r="D29" s="155" t="s">
        <v>164</v>
      </c>
      <c r="E29" s="156">
        <f>SUM(E8,E13,E15,E16,E17,E21)</f>
        <v>4951097</v>
      </c>
      <c r="F29" s="156">
        <f>SUM(F8,F13,F15,F16,F17,F21)</f>
        <v>4800124</v>
      </c>
      <c r="G29" s="325"/>
    </row>
    <row r="30" spans="1:13" ht="13.5" thickBot="1" x14ac:dyDescent="0.25">
      <c r="C30" s="160"/>
      <c r="D30" s="157" t="s">
        <v>165</v>
      </c>
      <c r="E30" s="158">
        <f>SUM(E9,E11,E12,E14,E18,E19,E22)</f>
        <v>4911597</v>
      </c>
      <c r="F30" s="158">
        <f>SUM(F9,F11,F12,F14,F18,F19,F22)</f>
        <v>4558042</v>
      </c>
      <c r="G30" s="325"/>
    </row>
    <row r="31" spans="1:13" ht="13.5" thickTop="1" x14ac:dyDescent="0.2">
      <c r="E31" s="438">
        <f>E29-E30</f>
        <v>39500</v>
      </c>
      <c r="F31" s="438">
        <f>F29-F30</f>
        <v>242082</v>
      </c>
    </row>
  </sheetData>
  <mergeCells count="22">
    <mergeCell ref="B2:E2"/>
    <mergeCell ref="B3:E3"/>
    <mergeCell ref="B4:H4"/>
    <mergeCell ref="F3:G3"/>
    <mergeCell ref="F2:G2"/>
    <mergeCell ref="B8:C8"/>
    <mergeCell ref="B9:C9"/>
    <mergeCell ref="B10:C10"/>
    <mergeCell ref="B11:C11"/>
    <mergeCell ref="B19:C19"/>
    <mergeCell ref="B15:C15"/>
    <mergeCell ref="B18:C18"/>
    <mergeCell ref="B16:C16"/>
    <mergeCell ref="B12:C12"/>
    <mergeCell ref="B26:C26"/>
    <mergeCell ref="B13:C13"/>
    <mergeCell ref="B14:C14"/>
    <mergeCell ref="B20:C20"/>
    <mergeCell ref="B17:C17"/>
    <mergeCell ref="B23:C23"/>
    <mergeCell ref="B25:C25"/>
    <mergeCell ref="B24:C24"/>
  </mergeCells>
  <phoneticPr fontId="0" type="noConversion"/>
  <conditionalFormatting sqref="H2:H3 F2:F3 G3">
    <cfRule type="cellIs" dxfId="8" priority="1" stopIfTrue="1" operator="equal">
      <formula>0</formula>
    </cfRule>
  </conditionalFormatting>
  <conditionalFormatting sqref="E6:F6">
    <cfRule type="cellIs" dxfId="7" priority="3" stopIfTrue="1" operator="equal">
      <formula>0</formula>
    </cfRule>
  </conditionalFormatting>
  <printOptions horizontalCentered="1"/>
  <pageMargins left="0.35433070866141736" right="0.19685039370078741" top="0.59055118110236227" bottom="0.94488188976377963" header="0.27559055118110237" footer="0.27559055118110237"/>
  <pageSetup paperSize="9" orientation="landscape" verticalDpi="300" r:id="rId1"/>
  <headerFooter alignWithMargins="0">
    <oddHeader xml:space="preserve">&amp;R
</oddHeader>
    <oddFooter>&amp;LIzpildīja__________________
                        &amp;8/Paraksts/&amp;CPārbaudīja________________
             &amp;8 /Paraksts/&amp;R&amp;D/&amp;T/&amp;P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xSplit="12" ySplit="2" topLeftCell="M3" activePane="bottomRight" state="frozenSplit"/>
      <selection activeCell="A15" sqref="A15:B15"/>
      <selection pane="topRight" activeCell="A15" sqref="A15:B15"/>
      <selection pane="bottomLeft" activeCell="A15" sqref="A15:B15"/>
      <selection pane="bottomRight" activeCell="C2" sqref="C2:F2"/>
    </sheetView>
  </sheetViews>
  <sheetFormatPr defaultRowHeight="12.75" x14ac:dyDescent="0.2"/>
  <cols>
    <col min="1" max="1" width="3" style="1" customWidth="1"/>
    <col min="2" max="2" width="3.5" style="1" customWidth="1"/>
    <col min="3" max="3" width="29.5" customWidth="1"/>
    <col min="4" max="4" width="7.5" style="2" customWidth="1"/>
    <col min="5" max="5" width="12.6640625" style="5" customWidth="1"/>
    <col min="6" max="6" width="12" style="5" customWidth="1"/>
    <col min="7" max="7" width="10" style="39" customWidth="1"/>
    <col min="8" max="8" width="11" style="39" customWidth="1"/>
    <col min="9" max="11" width="10.83203125" customWidth="1"/>
    <col min="12" max="12" width="9.5" customWidth="1"/>
    <col min="13" max="13" width="12" customWidth="1"/>
  </cols>
  <sheetData>
    <row r="1" spans="1:12" ht="13.5" thickBot="1" x14ac:dyDescent="0.25"/>
    <row r="2" spans="1:12" s="218" customFormat="1" ht="15.75" customHeight="1" x14ac:dyDescent="0.25">
      <c r="A2" s="417"/>
      <c r="B2" s="354"/>
      <c r="C2" s="507" t="str">
        <f>Inform.ievad.!C3</f>
        <v>SIA"Daugavpils autobusu parks"</v>
      </c>
      <c r="D2" s="490"/>
      <c r="E2" s="490"/>
      <c r="F2" s="490"/>
      <c r="G2" s="505" t="str">
        <f>Inform.ievad.!C5</f>
        <v>2018. gads</v>
      </c>
      <c r="H2" s="506"/>
      <c r="I2" s="498" t="str">
        <f>Inform.ievad.!C7</f>
        <v>Finanšu analīze</v>
      </c>
      <c r="J2" s="499"/>
      <c r="K2" s="500"/>
      <c r="L2" s="389"/>
    </row>
    <row r="3" spans="1:12" s="218" customFormat="1" ht="10.5" customHeight="1" x14ac:dyDescent="0.2">
      <c r="A3" s="414"/>
      <c r="B3" s="354"/>
      <c r="C3" s="491" t="s">
        <v>271</v>
      </c>
      <c r="D3" s="492"/>
      <c r="E3" s="492"/>
      <c r="F3" s="492"/>
      <c r="G3" s="504"/>
      <c r="H3" s="504"/>
      <c r="I3" s="501" t="s">
        <v>272</v>
      </c>
      <c r="J3" s="502"/>
      <c r="K3" s="503"/>
    </row>
    <row r="4" spans="1:12" s="218" customFormat="1" ht="19.5" customHeight="1" thickBot="1" x14ac:dyDescent="0.3">
      <c r="A4" s="324"/>
      <c r="B4" s="202"/>
      <c r="C4" s="493" t="s">
        <v>189</v>
      </c>
      <c r="D4" s="494"/>
      <c r="E4" s="494"/>
      <c r="F4" s="494"/>
      <c r="G4" s="494"/>
      <c r="H4" s="494"/>
      <c r="I4" s="494"/>
      <c r="J4" s="494"/>
      <c r="K4" s="521"/>
    </row>
    <row r="5" spans="1:12" ht="15.75" customHeight="1" x14ac:dyDescent="0.2">
      <c r="L5" s="218"/>
    </row>
    <row r="6" spans="1:12" s="237" customFormat="1" ht="19.5" customHeight="1" x14ac:dyDescent="0.2">
      <c r="A6" s="513" t="s">
        <v>180</v>
      </c>
      <c r="B6" s="514"/>
      <c r="C6" s="515"/>
      <c r="D6" s="519"/>
      <c r="E6" s="508" t="s">
        <v>326</v>
      </c>
      <c r="F6" s="508" t="s">
        <v>323</v>
      </c>
      <c r="G6" s="236" t="s">
        <v>185</v>
      </c>
      <c r="H6" s="236" t="s">
        <v>182</v>
      </c>
      <c r="I6" s="236" t="s">
        <v>192</v>
      </c>
      <c r="J6" s="236" t="s">
        <v>192</v>
      </c>
      <c r="K6" s="236" t="s">
        <v>193</v>
      </c>
      <c r="L6" s="218"/>
    </row>
    <row r="7" spans="1:12" s="237" customFormat="1" ht="21" customHeight="1" x14ac:dyDescent="0.2">
      <c r="A7" s="516"/>
      <c r="B7" s="517"/>
      <c r="C7" s="518"/>
      <c r="D7" s="520"/>
      <c r="E7" s="509"/>
      <c r="F7" s="509"/>
      <c r="G7" s="238" t="s">
        <v>186</v>
      </c>
      <c r="H7" s="238" t="s">
        <v>195</v>
      </c>
      <c r="I7" s="439" t="str">
        <f>Inform.ievad.!C5</f>
        <v>2018. gads</v>
      </c>
      <c r="J7" s="439" t="str">
        <f>Inform.ievad.!C9</f>
        <v>2017. gads</v>
      </c>
      <c r="K7" s="238" t="s">
        <v>184</v>
      </c>
      <c r="L7" s="218"/>
    </row>
    <row r="8" spans="1:12" s="35" customFormat="1" ht="11.25" x14ac:dyDescent="0.2">
      <c r="A8" s="510">
        <v>1</v>
      </c>
      <c r="B8" s="511"/>
      <c r="C8" s="512"/>
      <c r="D8" s="37" t="s">
        <v>166</v>
      </c>
      <c r="E8" s="36">
        <v>3</v>
      </c>
      <c r="F8" s="36">
        <v>4</v>
      </c>
      <c r="G8" s="36">
        <v>5</v>
      </c>
      <c r="H8" s="36">
        <v>6</v>
      </c>
      <c r="I8" s="36">
        <v>7</v>
      </c>
      <c r="J8" s="36">
        <v>8</v>
      </c>
      <c r="K8" s="36">
        <v>9</v>
      </c>
    </row>
    <row r="9" spans="1:12" s="11" customFormat="1" x14ac:dyDescent="0.2">
      <c r="A9" s="6" t="s">
        <v>0</v>
      </c>
      <c r="B9" s="7"/>
      <c r="C9" s="8"/>
      <c r="D9" s="9"/>
      <c r="E9" s="10"/>
      <c r="F9" s="10"/>
      <c r="G9" s="130"/>
      <c r="H9" s="137"/>
      <c r="I9" s="138"/>
      <c r="J9" s="142"/>
      <c r="K9" s="142"/>
      <c r="L9" s="218"/>
    </row>
    <row r="10" spans="1:12" s="11" customFormat="1" x14ac:dyDescent="0.2">
      <c r="A10" s="12"/>
      <c r="B10" s="13" t="s">
        <v>1</v>
      </c>
      <c r="C10" s="14"/>
      <c r="D10" s="15"/>
      <c r="E10" s="16"/>
      <c r="F10" s="16"/>
      <c r="G10" s="131"/>
      <c r="H10" s="139"/>
      <c r="I10" s="140"/>
      <c r="J10" s="142"/>
      <c r="K10" s="142"/>
      <c r="L10" s="218"/>
    </row>
    <row r="11" spans="1:12" s="118" customFormat="1" ht="23.25" customHeight="1" x14ac:dyDescent="0.2">
      <c r="A11" s="113"/>
      <c r="B11" s="114"/>
      <c r="C11" s="115" t="s">
        <v>279</v>
      </c>
      <c r="D11" s="116"/>
      <c r="E11" s="207"/>
      <c r="F11" s="207"/>
      <c r="G11" s="135">
        <f>E11-F11</f>
        <v>0</v>
      </c>
      <c r="H11" s="141" t="e">
        <f t="shared" ref="H11:H16" si="0">E11/F11*100-100</f>
        <v>#DIV/0!</v>
      </c>
      <c r="I11" s="208">
        <f>E11/$E$71</f>
        <v>0</v>
      </c>
      <c r="J11" s="208">
        <f>F11/$F$71</f>
        <v>0</v>
      </c>
      <c r="K11" s="208">
        <f t="shared" ref="K11:K38" si="1">SUM(I11-J11)</f>
        <v>0</v>
      </c>
      <c r="L11" s="218"/>
    </row>
    <row r="12" spans="1:12" s="118" customFormat="1" ht="27" customHeight="1" x14ac:dyDescent="0.2">
      <c r="A12" s="119"/>
      <c r="B12" s="120"/>
      <c r="C12" s="121" t="s">
        <v>2</v>
      </c>
      <c r="D12" s="122"/>
      <c r="E12" s="209">
        <v>79</v>
      </c>
      <c r="F12" s="209">
        <v>93</v>
      </c>
      <c r="G12" s="135">
        <f t="shared" ref="G12:G71" si="2">E12-F12</f>
        <v>-14</v>
      </c>
      <c r="H12" s="141">
        <f t="shared" si="0"/>
        <v>-15.1</v>
      </c>
      <c r="I12" s="208">
        <f>E12/$E$71</f>
        <v>0</v>
      </c>
      <c r="J12" s="208">
        <f>F12/$F$71</f>
        <v>0</v>
      </c>
      <c r="K12" s="208">
        <f t="shared" si="1"/>
        <v>0</v>
      </c>
    </row>
    <row r="13" spans="1:12" s="118" customFormat="1" ht="16.5" customHeight="1" x14ac:dyDescent="0.2">
      <c r="A13" s="119"/>
      <c r="B13" s="120"/>
      <c r="C13" s="121" t="s">
        <v>3</v>
      </c>
      <c r="D13" s="122"/>
      <c r="E13" s="244">
        <v>3514</v>
      </c>
      <c r="F13" s="244">
        <v>3322</v>
      </c>
      <c r="G13" s="135">
        <f t="shared" si="2"/>
        <v>192</v>
      </c>
      <c r="H13" s="141">
        <f t="shared" si="0"/>
        <v>5.8</v>
      </c>
      <c r="I13" s="208">
        <f>E13/$E$71</f>
        <v>1.1000000000000001E-3</v>
      </c>
      <c r="J13" s="208">
        <f>F13/$F$71</f>
        <v>1.1000000000000001E-3</v>
      </c>
      <c r="K13" s="208">
        <f t="shared" si="1"/>
        <v>0</v>
      </c>
    </row>
    <row r="14" spans="1:12" s="118" customFormat="1" ht="14.25" customHeight="1" x14ac:dyDescent="0.2">
      <c r="A14" s="119"/>
      <c r="B14" s="120"/>
      <c r="C14" s="121" t="s">
        <v>280</v>
      </c>
      <c r="D14" s="122"/>
      <c r="E14" s="209"/>
      <c r="F14" s="209"/>
      <c r="G14" s="135">
        <f t="shared" si="2"/>
        <v>0</v>
      </c>
      <c r="H14" s="141" t="e">
        <f t="shared" si="0"/>
        <v>#DIV/0!</v>
      </c>
      <c r="I14" s="208">
        <f>E14/$E$71</f>
        <v>0</v>
      </c>
      <c r="J14" s="208">
        <f>F14/$F$71</f>
        <v>0</v>
      </c>
      <c r="K14" s="208">
        <f t="shared" si="1"/>
        <v>0</v>
      </c>
    </row>
    <row r="15" spans="1:12" s="118" customFormat="1" ht="24" x14ac:dyDescent="0.2">
      <c r="A15" s="440"/>
      <c r="B15" s="441"/>
      <c r="C15" s="442" t="s">
        <v>4</v>
      </c>
      <c r="D15" s="443"/>
      <c r="E15" s="444"/>
      <c r="F15" s="444"/>
      <c r="G15" s="445">
        <f t="shared" si="2"/>
        <v>0</v>
      </c>
      <c r="H15" s="446" t="e">
        <f t="shared" si="0"/>
        <v>#DIV/0!</v>
      </c>
      <c r="I15" s="447">
        <f>E15/$E$71</f>
        <v>0</v>
      </c>
      <c r="J15" s="447">
        <f>F15/$F$71</f>
        <v>0</v>
      </c>
      <c r="K15" s="447">
        <f t="shared" si="1"/>
        <v>0</v>
      </c>
    </row>
    <row r="16" spans="1:12" s="11" customFormat="1" ht="12" x14ac:dyDescent="0.2">
      <c r="A16" s="17"/>
      <c r="B16" s="21"/>
      <c r="C16" s="38" t="s">
        <v>25</v>
      </c>
      <c r="D16" s="24"/>
      <c r="E16" s="46">
        <f>SUM(E11:E15)</f>
        <v>3593</v>
      </c>
      <c r="F16" s="46">
        <f>SUM(F11:F15)</f>
        <v>3415</v>
      </c>
      <c r="G16" s="143">
        <f t="shared" si="2"/>
        <v>178</v>
      </c>
      <c r="H16" s="451">
        <f t="shared" si="0"/>
        <v>5.2</v>
      </c>
      <c r="I16" s="452">
        <f>SUM(I11:I15)</f>
        <v>1.1000000000000001E-3</v>
      </c>
      <c r="J16" s="452">
        <f>SUM(J11:J15)</f>
        <v>1.1000000000000001E-3</v>
      </c>
      <c r="K16" s="452">
        <f>SUM(K11:K15)</f>
        <v>0</v>
      </c>
    </row>
    <row r="17" spans="1:11" s="11" customFormat="1" ht="12" x14ac:dyDescent="0.2">
      <c r="A17" s="12"/>
      <c r="B17" s="13" t="s">
        <v>5</v>
      </c>
      <c r="C17" s="14"/>
      <c r="D17" s="15"/>
      <c r="E17" s="448"/>
      <c r="F17" s="448"/>
      <c r="G17" s="449">
        <f t="shared" si="2"/>
        <v>0</v>
      </c>
      <c r="H17" s="450"/>
      <c r="I17" s="153"/>
      <c r="J17" s="153"/>
      <c r="K17" s="153"/>
    </row>
    <row r="18" spans="1:11" s="118" customFormat="1" ht="12" customHeight="1" x14ac:dyDescent="0.2">
      <c r="A18" s="113"/>
      <c r="B18" s="114"/>
      <c r="C18" s="115" t="s">
        <v>6</v>
      </c>
      <c r="D18" s="116"/>
      <c r="E18" s="210">
        <v>86181</v>
      </c>
      <c r="F18" s="210">
        <v>103574</v>
      </c>
      <c r="G18" s="135">
        <f t="shared" si="2"/>
        <v>-17393</v>
      </c>
      <c r="H18" s="141">
        <f t="shared" ref="H18:H28" si="3">E18/F18*100-100</f>
        <v>-16.8</v>
      </c>
      <c r="I18" s="208">
        <f t="shared" ref="I18:I24" si="4">E18/$E$71</f>
        <v>2.6100000000000002E-2</v>
      </c>
      <c r="J18" s="208">
        <f t="shared" ref="J18:J24" si="5">F18/$F$71</f>
        <v>3.4099999999999998E-2</v>
      </c>
      <c r="K18" s="208">
        <f t="shared" si="1"/>
        <v>-8.0000000000000002E-3</v>
      </c>
    </row>
    <row r="19" spans="1:11" s="118" customFormat="1" ht="12" customHeight="1" x14ac:dyDescent="0.2">
      <c r="A19" s="119"/>
      <c r="B19" s="120"/>
      <c r="C19" s="121" t="s">
        <v>7</v>
      </c>
      <c r="D19" s="122"/>
      <c r="E19" s="209"/>
      <c r="F19" s="209"/>
      <c r="G19" s="135">
        <f t="shared" si="2"/>
        <v>0</v>
      </c>
      <c r="H19" s="141" t="e">
        <f t="shared" si="3"/>
        <v>#DIV/0!</v>
      </c>
      <c r="I19" s="208">
        <f t="shared" si="4"/>
        <v>0</v>
      </c>
      <c r="J19" s="208">
        <f t="shared" si="5"/>
        <v>0</v>
      </c>
      <c r="K19" s="208">
        <f t="shared" si="1"/>
        <v>0</v>
      </c>
    </row>
    <row r="20" spans="1:11" s="118" customFormat="1" ht="12" x14ac:dyDescent="0.2">
      <c r="A20" s="119"/>
      <c r="B20" s="120"/>
      <c r="C20" s="121" t="s">
        <v>317</v>
      </c>
      <c r="D20" s="122"/>
      <c r="E20" s="209"/>
      <c r="F20" s="209">
        <v>27</v>
      </c>
      <c r="G20" s="135">
        <f t="shared" si="2"/>
        <v>-27</v>
      </c>
      <c r="H20" s="141">
        <f t="shared" si="3"/>
        <v>-100</v>
      </c>
      <c r="I20" s="208">
        <f t="shared" si="4"/>
        <v>0</v>
      </c>
      <c r="J20" s="208">
        <f t="shared" si="5"/>
        <v>0</v>
      </c>
      <c r="K20" s="208">
        <f t="shared" si="1"/>
        <v>0</v>
      </c>
    </row>
    <row r="21" spans="1:11" s="118" customFormat="1" ht="12" x14ac:dyDescent="0.2">
      <c r="A21" s="119"/>
      <c r="B21" s="120"/>
      <c r="C21" s="121" t="s">
        <v>316</v>
      </c>
      <c r="D21" s="122"/>
      <c r="E21" s="209">
        <v>2113287</v>
      </c>
      <c r="F21" s="209">
        <v>1785642</v>
      </c>
      <c r="G21" s="135">
        <f t="shared" si="2"/>
        <v>327645</v>
      </c>
      <c r="H21" s="141">
        <f t="shared" si="3"/>
        <v>18.3</v>
      </c>
      <c r="I21" s="208">
        <f t="shared" si="4"/>
        <v>0.64029999999999998</v>
      </c>
      <c r="J21" s="208">
        <f t="shared" si="5"/>
        <v>0.58760000000000001</v>
      </c>
      <c r="K21" s="208">
        <f>SUM(I21-J21)</f>
        <v>5.2699999999999997E-2</v>
      </c>
    </row>
    <row r="22" spans="1:11" s="118" customFormat="1" ht="24" x14ac:dyDescent="0.2">
      <c r="A22" s="119"/>
      <c r="B22" s="120"/>
      <c r="C22" s="121" t="s">
        <v>266</v>
      </c>
      <c r="D22" s="122"/>
      <c r="E22" s="209">
        <v>44977</v>
      </c>
      <c r="F22" s="209">
        <v>63188</v>
      </c>
      <c r="G22" s="135">
        <f t="shared" si="2"/>
        <v>-18211</v>
      </c>
      <c r="H22" s="141">
        <f t="shared" si="3"/>
        <v>-28.8</v>
      </c>
      <c r="I22" s="208">
        <f t="shared" si="4"/>
        <v>1.3599999999999999E-2</v>
      </c>
      <c r="J22" s="208">
        <f t="shared" si="5"/>
        <v>2.0799999999999999E-2</v>
      </c>
      <c r="K22" s="208">
        <f t="shared" si="1"/>
        <v>-7.1999999999999998E-3</v>
      </c>
    </row>
    <row r="23" spans="1:11" s="118" customFormat="1" ht="36" x14ac:dyDescent="0.2">
      <c r="A23" s="119"/>
      <c r="B23" s="120"/>
      <c r="C23" s="121" t="s">
        <v>267</v>
      </c>
      <c r="D23" s="122"/>
      <c r="E23" s="123"/>
      <c r="F23" s="123"/>
      <c r="G23" s="135">
        <f t="shared" si="2"/>
        <v>0</v>
      </c>
      <c r="H23" s="141" t="e">
        <f t="shared" si="3"/>
        <v>#DIV/0!</v>
      </c>
      <c r="I23" s="208">
        <f t="shared" si="4"/>
        <v>0</v>
      </c>
      <c r="J23" s="208">
        <f t="shared" si="5"/>
        <v>0</v>
      </c>
      <c r="K23" s="208">
        <f t="shared" si="1"/>
        <v>0</v>
      </c>
    </row>
    <row r="24" spans="1:11" s="118" customFormat="1" ht="24" x14ac:dyDescent="0.2">
      <c r="A24" s="211"/>
      <c r="B24" s="212"/>
      <c r="C24" s="213" t="s">
        <v>268</v>
      </c>
      <c r="D24" s="214"/>
      <c r="E24" s="215">
        <v>96994</v>
      </c>
      <c r="F24" s="215"/>
      <c r="G24" s="136">
        <f t="shared" si="2"/>
        <v>96994</v>
      </c>
      <c r="H24" s="141" t="e">
        <f>E24/F24*100-100</f>
        <v>#DIV/0!</v>
      </c>
      <c r="I24" s="208">
        <f t="shared" si="4"/>
        <v>2.9399999999999999E-2</v>
      </c>
      <c r="J24" s="208">
        <f t="shared" si="5"/>
        <v>0</v>
      </c>
      <c r="K24" s="208">
        <f>SUM(I24-J24)</f>
        <v>2.9399999999999999E-2</v>
      </c>
    </row>
    <row r="25" spans="1:11" s="11" customFormat="1" ht="12" x14ac:dyDescent="0.2">
      <c r="A25" s="17"/>
      <c r="B25" s="21"/>
      <c r="C25" s="38" t="s">
        <v>26</v>
      </c>
      <c r="D25" s="24"/>
      <c r="E25" s="109">
        <f>SUM(E18:E24)</f>
        <v>2341439</v>
      </c>
      <c r="F25" s="109">
        <f>SUM(F18:F24)</f>
        <v>1952431</v>
      </c>
      <c r="G25" s="143">
        <f>E25-F25</f>
        <v>389008</v>
      </c>
      <c r="H25" s="144">
        <f>E25/F25*100-100</f>
        <v>19.899999999999999</v>
      </c>
      <c r="I25" s="146">
        <f>SUM(I18:I24)</f>
        <v>0.70940000000000003</v>
      </c>
      <c r="J25" s="146">
        <f>SUM(J18:J24)</f>
        <v>0.64249999999999996</v>
      </c>
      <c r="K25" s="146">
        <f>SUM(K18:K24)</f>
        <v>6.6900000000000001E-2</v>
      </c>
    </row>
    <row r="26" spans="1:11" s="11" customFormat="1" ht="12" x14ac:dyDescent="0.2">
      <c r="A26" s="6"/>
      <c r="B26" s="424" t="s">
        <v>281</v>
      </c>
      <c r="C26" s="425" t="s">
        <v>282</v>
      </c>
      <c r="D26" s="426"/>
      <c r="E26" s="427"/>
      <c r="F26" s="427"/>
      <c r="G26" s="458"/>
      <c r="H26" s="141" t="e">
        <f t="shared" si="3"/>
        <v>#DIV/0!</v>
      </c>
      <c r="I26" s="208">
        <f>E26/$E$71</f>
        <v>0</v>
      </c>
      <c r="J26" s="208">
        <f>F26/$F$71</f>
        <v>0</v>
      </c>
      <c r="K26" s="208">
        <f t="shared" si="1"/>
        <v>0</v>
      </c>
    </row>
    <row r="27" spans="1:11" s="11" customFormat="1" ht="12" x14ac:dyDescent="0.2">
      <c r="A27" s="6"/>
      <c r="B27" s="421"/>
      <c r="C27" s="38" t="s">
        <v>27</v>
      </c>
      <c r="D27" s="422"/>
      <c r="E27" s="423">
        <f>E26</f>
        <v>0</v>
      </c>
      <c r="F27" s="423">
        <f>F26</f>
        <v>0</v>
      </c>
      <c r="G27" s="143">
        <f t="shared" si="2"/>
        <v>0</v>
      </c>
      <c r="H27" s="144" t="e">
        <f>H26</f>
        <v>#DIV/0!</v>
      </c>
      <c r="I27" s="146">
        <f>I26</f>
        <v>0</v>
      </c>
      <c r="J27" s="146">
        <f>J26</f>
        <v>0</v>
      </c>
      <c r="K27" s="146">
        <f t="shared" si="1"/>
        <v>0</v>
      </c>
    </row>
    <row r="28" spans="1:11" s="11" customFormat="1" ht="12" x14ac:dyDescent="0.2">
      <c r="A28" s="6"/>
      <c r="B28" s="424" t="s">
        <v>285</v>
      </c>
      <c r="C28" s="429"/>
      <c r="D28" s="426"/>
      <c r="E28" s="427"/>
      <c r="F28" s="427"/>
      <c r="G28" s="458"/>
      <c r="H28" s="141" t="e">
        <f t="shared" si="3"/>
        <v>#DIV/0!</v>
      </c>
      <c r="I28" s="208">
        <f>E28/$E$71</f>
        <v>0</v>
      </c>
      <c r="J28" s="208">
        <f>F28/$F$71</f>
        <v>0</v>
      </c>
      <c r="K28" s="208">
        <f t="shared" si="1"/>
        <v>0</v>
      </c>
    </row>
    <row r="29" spans="1:11" s="11" customFormat="1" ht="12" x14ac:dyDescent="0.2">
      <c r="A29" s="6"/>
      <c r="B29" s="421"/>
      <c r="C29" s="38" t="s">
        <v>283</v>
      </c>
      <c r="D29" s="422"/>
      <c r="E29" s="423">
        <f>E28</f>
        <v>0</v>
      </c>
      <c r="F29" s="423">
        <f>F28</f>
        <v>0</v>
      </c>
      <c r="G29" s="143">
        <f t="shared" si="2"/>
        <v>0</v>
      </c>
      <c r="H29" s="144" t="e">
        <f>H28</f>
        <v>#DIV/0!</v>
      </c>
      <c r="I29" s="146">
        <f>I28</f>
        <v>0</v>
      </c>
      <c r="J29" s="146">
        <f>J28</f>
        <v>0</v>
      </c>
      <c r="K29" s="146">
        <f>K28</f>
        <v>0</v>
      </c>
    </row>
    <row r="30" spans="1:11" s="11" customFormat="1" ht="12" x14ac:dyDescent="0.2">
      <c r="A30" s="6"/>
      <c r="B30" s="7" t="s">
        <v>284</v>
      </c>
      <c r="C30" s="8"/>
      <c r="D30" s="9"/>
      <c r="E30" s="111"/>
      <c r="F30" s="111"/>
      <c r="G30" s="134">
        <f t="shared" si="2"/>
        <v>0</v>
      </c>
      <c r="H30" s="139"/>
      <c r="I30" s="142"/>
      <c r="J30" s="142"/>
      <c r="K30" s="142"/>
    </row>
    <row r="31" spans="1:11" s="118" customFormat="1" ht="24" x14ac:dyDescent="0.2">
      <c r="A31" s="113"/>
      <c r="B31" s="114"/>
      <c r="C31" s="115" t="s">
        <v>287</v>
      </c>
      <c r="D31" s="116"/>
      <c r="E31" s="117"/>
      <c r="F31" s="117"/>
      <c r="G31" s="135">
        <f t="shared" si="2"/>
        <v>0</v>
      </c>
      <c r="H31" s="141" t="e">
        <f t="shared" ref="H31:H38" si="6">E31/F31*100-100</f>
        <v>#DIV/0!</v>
      </c>
      <c r="I31" s="208">
        <f t="shared" ref="I31:I38" si="7">E31/$E$71</f>
        <v>0</v>
      </c>
      <c r="J31" s="208">
        <f t="shared" ref="J31:J38" si="8">F31/$F$71</f>
        <v>0</v>
      </c>
      <c r="K31" s="208">
        <f t="shared" si="1"/>
        <v>0</v>
      </c>
    </row>
    <row r="32" spans="1:11" s="118" customFormat="1" ht="24" x14ac:dyDescent="0.2">
      <c r="A32" s="119"/>
      <c r="B32" s="120"/>
      <c r="C32" s="121" t="s">
        <v>288</v>
      </c>
      <c r="D32" s="122"/>
      <c r="E32" s="123"/>
      <c r="F32" s="123"/>
      <c r="G32" s="135">
        <f t="shared" si="2"/>
        <v>0</v>
      </c>
      <c r="H32" s="141" t="e">
        <f t="shared" si="6"/>
        <v>#DIV/0!</v>
      </c>
      <c r="I32" s="208">
        <f t="shared" si="7"/>
        <v>0</v>
      </c>
      <c r="J32" s="208">
        <f t="shared" si="8"/>
        <v>0</v>
      </c>
      <c r="K32" s="208">
        <f t="shared" si="1"/>
        <v>0</v>
      </c>
    </row>
    <row r="33" spans="1:11" s="118" customFormat="1" ht="24" x14ac:dyDescent="0.2">
      <c r="A33" s="119"/>
      <c r="B33" s="120"/>
      <c r="C33" s="121" t="s">
        <v>289</v>
      </c>
      <c r="D33" s="122"/>
      <c r="E33" s="123"/>
      <c r="F33" s="123"/>
      <c r="G33" s="135">
        <f t="shared" si="2"/>
        <v>0</v>
      </c>
      <c r="H33" s="141" t="e">
        <f t="shared" si="6"/>
        <v>#DIV/0!</v>
      </c>
      <c r="I33" s="208">
        <f t="shared" si="7"/>
        <v>0</v>
      </c>
      <c r="J33" s="208">
        <f t="shared" si="8"/>
        <v>0</v>
      </c>
      <c r="K33" s="208">
        <f t="shared" si="1"/>
        <v>0</v>
      </c>
    </row>
    <row r="34" spans="1:11" s="118" customFormat="1" ht="24" x14ac:dyDescent="0.2">
      <c r="A34" s="119"/>
      <c r="B34" s="120"/>
      <c r="C34" s="121" t="s">
        <v>290</v>
      </c>
      <c r="D34" s="122"/>
      <c r="E34" s="123"/>
      <c r="F34" s="123"/>
      <c r="G34" s="135">
        <f t="shared" si="2"/>
        <v>0</v>
      </c>
      <c r="H34" s="141" t="e">
        <f t="shared" si="6"/>
        <v>#DIV/0!</v>
      </c>
      <c r="I34" s="208">
        <f t="shared" si="7"/>
        <v>0</v>
      </c>
      <c r="J34" s="208">
        <f t="shared" si="8"/>
        <v>0</v>
      </c>
      <c r="K34" s="208">
        <f t="shared" si="1"/>
        <v>0</v>
      </c>
    </row>
    <row r="35" spans="1:11" s="118" customFormat="1" ht="15" customHeight="1" x14ac:dyDescent="0.2">
      <c r="A35" s="119"/>
      <c r="B35" s="120"/>
      <c r="C35" s="121" t="s">
        <v>8</v>
      </c>
      <c r="D35" s="122"/>
      <c r="E35" s="123"/>
      <c r="F35" s="123"/>
      <c r="G35" s="135">
        <f t="shared" si="2"/>
        <v>0</v>
      </c>
      <c r="H35" s="141" t="e">
        <f t="shared" si="6"/>
        <v>#DIV/0!</v>
      </c>
      <c r="I35" s="208">
        <f t="shared" si="7"/>
        <v>0</v>
      </c>
      <c r="J35" s="208">
        <f t="shared" si="8"/>
        <v>0</v>
      </c>
      <c r="K35" s="208">
        <f t="shared" si="1"/>
        <v>0</v>
      </c>
    </row>
    <row r="36" spans="1:11" s="118" customFormat="1" ht="23.25" customHeight="1" x14ac:dyDescent="0.2">
      <c r="A36" s="119"/>
      <c r="B36" s="120"/>
      <c r="C36" s="121" t="s">
        <v>292</v>
      </c>
      <c r="D36" s="122"/>
      <c r="E36" s="123"/>
      <c r="F36" s="123"/>
      <c r="G36" s="135">
        <f t="shared" si="2"/>
        <v>0</v>
      </c>
      <c r="H36" s="141" t="e">
        <f t="shared" si="6"/>
        <v>#DIV/0!</v>
      </c>
      <c r="I36" s="208">
        <f t="shared" si="7"/>
        <v>0</v>
      </c>
      <c r="J36" s="208">
        <f t="shared" si="8"/>
        <v>0</v>
      </c>
      <c r="K36" s="208">
        <f t="shared" si="1"/>
        <v>0</v>
      </c>
    </row>
    <row r="37" spans="1:11" s="118" customFormat="1" ht="12" x14ac:dyDescent="0.2">
      <c r="A37" s="119"/>
      <c r="B37" s="120"/>
      <c r="C37" s="121" t="s">
        <v>9</v>
      </c>
      <c r="D37" s="122"/>
      <c r="E37" s="123"/>
      <c r="F37" s="123"/>
      <c r="G37" s="135">
        <f t="shared" si="2"/>
        <v>0</v>
      </c>
      <c r="H37" s="141" t="e">
        <f t="shared" si="6"/>
        <v>#DIV/0!</v>
      </c>
      <c r="I37" s="208">
        <f t="shared" si="7"/>
        <v>0</v>
      </c>
      <c r="J37" s="208">
        <f t="shared" si="8"/>
        <v>0</v>
      </c>
      <c r="K37" s="208">
        <f t="shared" si="1"/>
        <v>0</v>
      </c>
    </row>
    <row r="38" spans="1:11" s="118" customFormat="1" ht="23.25" customHeight="1" x14ac:dyDescent="0.2">
      <c r="A38" s="124"/>
      <c r="B38" s="125"/>
      <c r="C38" s="126" t="s">
        <v>291</v>
      </c>
      <c r="D38" s="127"/>
      <c r="E38" s="128"/>
      <c r="F38" s="128"/>
      <c r="G38" s="136">
        <f t="shared" si="2"/>
        <v>0</v>
      </c>
      <c r="H38" s="141" t="e">
        <f t="shared" si="6"/>
        <v>#DIV/0!</v>
      </c>
      <c r="I38" s="208">
        <f t="shared" si="7"/>
        <v>0</v>
      </c>
      <c r="J38" s="208">
        <f t="shared" si="8"/>
        <v>0</v>
      </c>
      <c r="K38" s="208">
        <f t="shared" si="1"/>
        <v>0</v>
      </c>
    </row>
    <row r="39" spans="1:11" s="11" customFormat="1" ht="12" x14ac:dyDescent="0.2">
      <c r="A39" s="17"/>
      <c r="B39" s="21"/>
      <c r="C39" s="38" t="s">
        <v>286</v>
      </c>
      <c r="D39" s="24"/>
      <c r="E39" s="199">
        <f>SUM(E31:E38)</f>
        <v>0</v>
      </c>
      <c r="F39" s="199">
        <f>SUM(F31:F38)</f>
        <v>0</v>
      </c>
      <c r="G39" s="143">
        <f t="shared" si="2"/>
        <v>0</v>
      </c>
      <c r="H39" s="144" t="e">
        <f>E39/F39*100-100</f>
        <v>#DIV/0!</v>
      </c>
      <c r="I39" s="146">
        <f>SUM(I30:I38)</f>
        <v>0</v>
      </c>
      <c r="J39" s="146">
        <f>SUM(J30:J38)</f>
        <v>0</v>
      </c>
      <c r="K39" s="146">
        <f>SUM(K30:K38)</f>
        <v>0</v>
      </c>
    </row>
    <row r="40" spans="1:11" s="11" customFormat="1" ht="15" customHeight="1" x14ac:dyDescent="0.2">
      <c r="A40" s="20" t="s">
        <v>10</v>
      </c>
      <c r="B40" s="21"/>
      <c r="C40" s="22"/>
      <c r="D40" s="24"/>
      <c r="E40" s="109">
        <f>E39+E29+E27+E25+E16</f>
        <v>2345032</v>
      </c>
      <c r="F40" s="109">
        <f>F39+F29+F27+F25+F16</f>
        <v>1955846</v>
      </c>
      <c r="G40" s="143">
        <f t="shared" si="2"/>
        <v>389186</v>
      </c>
      <c r="H40" s="144">
        <f>E40/F40*100-100</f>
        <v>19.899999999999999</v>
      </c>
      <c r="I40" s="146">
        <f>SUM(I39,I25,I16)</f>
        <v>0.71050000000000002</v>
      </c>
      <c r="J40" s="146">
        <f>SUM(J39,J25,J16)</f>
        <v>0.64359999999999995</v>
      </c>
      <c r="K40" s="146">
        <f>SUM(K39,K25,K16)</f>
        <v>6.6900000000000001E-2</v>
      </c>
    </row>
    <row r="41" spans="1:11" s="11" customFormat="1" ht="12" x14ac:dyDescent="0.2">
      <c r="A41" s="6" t="s">
        <v>11</v>
      </c>
      <c r="B41" s="7"/>
      <c r="C41" s="8"/>
      <c r="D41" s="9"/>
      <c r="E41" s="111"/>
      <c r="F41" s="111"/>
      <c r="G41" s="134"/>
      <c r="H41" s="139"/>
      <c r="I41" s="142"/>
      <c r="J41" s="142"/>
      <c r="K41" s="142"/>
    </row>
    <row r="42" spans="1:11" s="11" customFormat="1" ht="11.25" customHeight="1" x14ac:dyDescent="0.2">
      <c r="A42" s="12"/>
      <c r="B42" s="13" t="s">
        <v>12</v>
      </c>
      <c r="C42" s="14"/>
      <c r="D42" s="15"/>
      <c r="E42" s="200"/>
      <c r="F42" s="200"/>
      <c r="G42" s="132"/>
      <c r="H42" s="139"/>
      <c r="I42" s="142"/>
      <c r="J42" s="142"/>
      <c r="K42" s="142"/>
    </row>
    <row r="43" spans="1:11" s="118" customFormat="1" ht="24" x14ac:dyDescent="0.2">
      <c r="A43" s="113"/>
      <c r="B43" s="114"/>
      <c r="C43" s="115" t="s">
        <v>13</v>
      </c>
      <c r="D43" s="116"/>
      <c r="E43" s="117">
        <v>94225</v>
      </c>
      <c r="F43" s="117">
        <v>100351</v>
      </c>
      <c r="G43" s="135">
        <f t="shared" si="2"/>
        <v>-6126</v>
      </c>
      <c r="H43" s="141">
        <f t="shared" ref="H43:H50" si="9">E43/F43*100-100</f>
        <v>-6.1</v>
      </c>
      <c r="I43" s="208">
        <f t="shared" ref="I43:I50" si="10">E43/$E$71</f>
        <v>2.8500000000000001E-2</v>
      </c>
      <c r="J43" s="208">
        <f t="shared" ref="J43:J50" si="11">F43/$F$71</f>
        <v>3.3000000000000002E-2</v>
      </c>
      <c r="K43" s="208">
        <f t="shared" ref="K43:K50" si="12">SUM(I43-J43)</f>
        <v>-4.4999999999999997E-3</v>
      </c>
    </row>
    <row r="44" spans="1:11" s="118" customFormat="1" ht="12" x14ac:dyDescent="0.2">
      <c r="A44" s="119"/>
      <c r="B44" s="120"/>
      <c r="C44" s="121" t="s">
        <v>14</v>
      </c>
      <c r="D44" s="122"/>
      <c r="E44" s="123"/>
      <c r="F44" s="123"/>
      <c r="G44" s="135">
        <f t="shared" si="2"/>
        <v>0</v>
      </c>
      <c r="H44" s="141" t="e">
        <f t="shared" si="9"/>
        <v>#DIV/0!</v>
      </c>
      <c r="I44" s="208">
        <f t="shared" si="10"/>
        <v>0</v>
      </c>
      <c r="J44" s="208">
        <f t="shared" si="11"/>
        <v>0</v>
      </c>
      <c r="K44" s="208">
        <f t="shared" si="12"/>
        <v>0</v>
      </c>
    </row>
    <row r="45" spans="1:11" s="118" customFormat="1" ht="24" x14ac:dyDescent="0.2">
      <c r="A45" s="119"/>
      <c r="B45" s="120"/>
      <c r="C45" s="121" t="s">
        <v>15</v>
      </c>
      <c r="D45" s="122"/>
      <c r="E45" s="123"/>
      <c r="F45" s="123"/>
      <c r="G45" s="135">
        <f t="shared" si="2"/>
        <v>0</v>
      </c>
      <c r="H45" s="141" t="e">
        <f t="shared" si="9"/>
        <v>#DIV/0!</v>
      </c>
      <c r="I45" s="208">
        <f t="shared" si="10"/>
        <v>0</v>
      </c>
      <c r="J45" s="208">
        <f t="shared" si="11"/>
        <v>0</v>
      </c>
      <c r="K45" s="208">
        <f t="shared" si="12"/>
        <v>0</v>
      </c>
    </row>
    <row r="46" spans="1:11" s="118" customFormat="1" ht="12" x14ac:dyDescent="0.2">
      <c r="A46" s="119"/>
      <c r="B46" s="120"/>
      <c r="C46" s="121" t="s">
        <v>16</v>
      </c>
      <c r="D46" s="122"/>
      <c r="E46" s="123"/>
      <c r="F46" s="123"/>
      <c r="G46" s="135">
        <f t="shared" si="2"/>
        <v>0</v>
      </c>
      <c r="H46" s="141" t="e">
        <f t="shared" si="9"/>
        <v>#DIV/0!</v>
      </c>
      <c r="I46" s="208">
        <f t="shared" si="10"/>
        <v>0</v>
      </c>
      <c r="J46" s="208">
        <f t="shared" si="11"/>
        <v>0</v>
      </c>
      <c r="K46" s="208">
        <f t="shared" si="12"/>
        <v>0</v>
      </c>
    </row>
    <row r="47" spans="1:11" s="118" customFormat="1" ht="14.25" customHeight="1" x14ac:dyDescent="0.2">
      <c r="A47" s="119"/>
      <c r="B47" s="120"/>
      <c r="C47" s="121" t="s">
        <v>17</v>
      </c>
      <c r="D47" s="122"/>
      <c r="E47" s="123">
        <v>67</v>
      </c>
      <c r="F47" s="123">
        <v>98</v>
      </c>
      <c r="G47" s="135">
        <f t="shared" si="2"/>
        <v>-31</v>
      </c>
      <c r="H47" s="141">
        <f t="shared" si="9"/>
        <v>-31.6</v>
      </c>
      <c r="I47" s="208">
        <f t="shared" si="10"/>
        <v>0</v>
      </c>
      <c r="J47" s="208">
        <f t="shared" si="11"/>
        <v>0</v>
      </c>
      <c r="K47" s="208">
        <f t="shared" si="12"/>
        <v>0</v>
      </c>
    </row>
    <row r="48" spans="1:11" s="118" customFormat="1" ht="24" x14ac:dyDescent="0.2">
      <c r="A48" s="124"/>
      <c r="B48" s="125"/>
      <c r="C48" s="126" t="s">
        <v>22</v>
      </c>
      <c r="D48" s="127"/>
      <c r="E48" s="128"/>
      <c r="F48" s="128"/>
      <c r="G48" s="136">
        <f t="shared" si="2"/>
        <v>0</v>
      </c>
      <c r="H48" s="141" t="e">
        <f>E48/F48*100-100</f>
        <v>#DIV/0!</v>
      </c>
      <c r="I48" s="208">
        <f>E48/$E$71</f>
        <v>0</v>
      </c>
      <c r="J48" s="208">
        <f>F48/$F$71</f>
        <v>0</v>
      </c>
      <c r="K48" s="208">
        <f>SUM(I48-J48)</f>
        <v>0</v>
      </c>
    </row>
    <row r="49" spans="1:11" s="11" customFormat="1" ht="12" x14ac:dyDescent="0.2">
      <c r="A49" s="17"/>
      <c r="B49" s="21"/>
      <c r="C49" s="38" t="s">
        <v>25</v>
      </c>
      <c r="D49" s="24"/>
      <c r="E49" s="109">
        <f>SUM(E43:E48)</f>
        <v>94292</v>
      </c>
      <c r="F49" s="109">
        <f>SUM(F43:F48)</f>
        <v>100449</v>
      </c>
      <c r="G49" s="143">
        <f>E49-F49</f>
        <v>-6157</v>
      </c>
      <c r="H49" s="144">
        <f>E49/F49*100-100</f>
        <v>-6.1</v>
      </c>
      <c r="I49" s="146">
        <f>SUM(I41:I48)</f>
        <v>2.8500000000000001E-2</v>
      </c>
      <c r="J49" s="146">
        <f>SUM(J41:J48)</f>
        <v>3.3000000000000002E-2</v>
      </c>
      <c r="K49" s="146">
        <f>SUM(K41:K48)</f>
        <v>-4.4999999999999997E-3</v>
      </c>
    </row>
    <row r="50" spans="1:11" s="11" customFormat="1" ht="21.75" customHeight="1" x14ac:dyDescent="0.2">
      <c r="A50" s="430"/>
      <c r="B50" s="432" t="s">
        <v>293</v>
      </c>
      <c r="C50" s="431" t="s">
        <v>294</v>
      </c>
      <c r="D50" s="426"/>
      <c r="E50" s="427"/>
      <c r="F50" s="427"/>
      <c r="G50" s="428"/>
      <c r="H50" s="141" t="e">
        <f t="shared" si="9"/>
        <v>#DIV/0!</v>
      </c>
      <c r="I50" s="208">
        <f t="shared" si="10"/>
        <v>0</v>
      </c>
      <c r="J50" s="208">
        <f t="shared" si="11"/>
        <v>0</v>
      </c>
      <c r="K50" s="208">
        <f t="shared" si="12"/>
        <v>0</v>
      </c>
    </row>
    <row r="51" spans="1:11" s="11" customFormat="1" ht="12" x14ac:dyDescent="0.2">
      <c r="A51" s="6"/>
      <c r="B51" s="421"/>
      <c r="C51" s="38" t="s">
        <v>26</v>
      </c>
      <c r="D51" s="422"/>
      <c r="E51" s="423">
        <f>E50</f>
        <v>0</v>
      </c>
      <c r="F51" s="423">
        <f>F50</f>
        <v>0</v>
      </c>
      <c r="G51" s="143">
        <f t="shared" si="2"/>
        <v>0</v>
      </c>
      <c r="H51" s="144" t="e">
        <f>E51/F51*100-100</f>
        <v>#DIV/0!</v>
      </c>
      <c r="I51" s="146">
        <f>SUM(I43:I50)</f>
        <v>5.7000000000000002E-2</v>
      </c>
      <c r="J51" s="146">
        <f>SUM(J43:J50)</f>
        <v>6.6000000000000003E-2</v>
      </c>
      <c r="K51" s="146">
        <f>SUM(K43:K50)</f>
        <v>-8.9999999999999993E-3</v>
      </c>
    </row>
    <row r="52" spans="1:11" s="11" customFormat="1" ht="12" x14ac:dyDescent="0.2">
      <c r="A52" s="6"/>
      <c r="B52" s="7" t="s">
        <v>295</v>
      </c>
      <c r="C52" s="8"/>
      <c r="D52" s="9"/>
      <c r="E52" s="111"/>
      <c r="F52" s="111"/>
      <c r="G52" s="134"/>
      <c r="H52" s="139"/>
      <c r="I52" s="142"/>
      <c r="J52" s="142"/>
      <c r="K52" s="142"/>
    </row>
    <row r="53" spans="1:11" s="118" customFormat="1" ht="12.75" customHeight="1" x14ac:dyDescent="0.2">
      <c r="A53" s="113"/>
      <c r="B53" s="114"/>
      <c r="C53" s="115" t="s">
        <v>19</v>
      </c>
      <c r="D53" s="116"/>
      <c r="E53" s="117">
        <v>38171</v>
      </c>
      <c r="F53" s="117">
        <v>40337</v>
      </c>
      <c r="G53" s="135">
        <f t="shared" si="2"/>
        <v>-2166</v>
      </c>
      <c r="H53" s="141">
        <f t="shared" ref="H53:H60" si="13">E53/F53*100-100</f>
        <v>-5.4</v>
      </c>
      <c r="I53" s="208">
        <f t="shared" ref="I53:I60" si="14">E53/$E$71</f>
        <v>1.1599999999999999E-2</v>
      </c>
      <c r="J53" s="208">
        <f t="shared" ref="J53:J60" si="15">F53/$F$71</f>
        <v>1.3299999999999999E-2</v>
      </c>
      <c r="K53" s="208">
        <f t="shared" ref="K53:K60" si="16">SUM(I53-J53)</f>
        <v>-1.6999999999999999E-3</v>
      </c>
    </row>
    <row r="54" spans="1:11" s="118" customFormat="1" ht="12.75" customHeight="1" x14ac:dyDescent="0.2">
      <c r="A54" s="119"/>
      <c r="B54" s="120"/>
      <c r="C54" s="121" t="s">
        <v>297</v>
      </c>
      <c r="D54" s="122"/>
      <c r="E54" s="123"/>
      <c r="F54" s="123"/>
      <c r="G54" s="135">
        <f t="shared" si="2"/>
        <v>0</v>
      </c>
      <c r="H54" s="141" t="e">
        <f t="shared" si="13"/>
        <v>#DIV/0!</v>
      </c>
      <c r="I54" s="208">
        <f t="shared" si="14"/>
        <v>0</v>
      </c>
      <c r="J54" s="208">
        <f t="shared" si="15"/>
        <v>0</v>
      </c>
      <c r="K54" s="208">
        <f t="shared" si="16"/>
        <v>0</v>
      </c>
    </row>
    <row r="55" spans="1:11" s="118" customFormat="1" ht="12.75" customHeight="1" x14ac:dyDescent="0.2">
      <c r="A55" s="119"/>
      <c r="B55" s="120"/>
      <c r="C55" s="121" t="s">
        <v>298</v>
      </c>
      <c r="D55" s="122"/>
      <c r="E55" s="123"/>
      <c r="F55" s="123"/>
      <c r="G55" s="135">
        <f t="shared" si="2"/>
        <v>0</v>
      </c>
      <c r="H55" s="141" t="e">
        <f t="shared" si="13"/>
        <v>#DIV/0!</v>
      </c>
      <c r="I55" s="208">
        <f t="shared" si="14"/>
        <v>0</v>
      </c>
      <c r="J55" s="208">
        <f t="shared" si="15"/>
        <v>0</v>
      </c>
      <c r="K55" s="208">
        <f t="shared" si="16"/>
        <v>0</v>
      </c>
    </row>
    <row r="56" spans="1:11" s="118" customFormat="1" ht="12.75" customHeight="1" x14ac:dyDescent="0.2">
      <c r="A56" s="119"/>
      <c r="B56" s="120"/>
      <c r="C56" s="121" t="s">
        <v>20</v>
      </c>
      <c r="D56" s="122"/>
      <c r="E56" s="123">
        <v>64313</v>
      </c>
      <c r="F56" s="123">
        <v>9204</v>
      </c>
      <c r="G56" s="135">
        <f t="shared" si="2"/>
        <v>55109</v>
      </c>
      <c r="H56" s="141">
        <f t="shared" si="13"/>
        <v>598.79999999999995</v>
      </c>
      <c r="I56" s="208">
        <f t="shared" si="14"/>
        <v>1.95E-2</v>
      </c>
      <c r="J56" s="208">
        <f t="shared" si="15"/>
        <v>3.0000000000000001E-3</v>
      </c>
      <c r="K56" s="208">
        <f t="shared" si="16"/>
        <v>1.6500000000000001E-2</v>
      </c>
    </row>
    <row r="57" spans="1:11" s="118" customFormat="1" ht="21.75" customHeight="1" x14ac:dyDescent="0.2">
      <c r="A57" s="119"/>
      <c r="B57" s="120"/>
      <c r="C57" s="121" t="s">
        <v>21</v>
      </c>
      <c r="D57" s="122"/>
      <c r="E57" s="123"/>
      <c r="F57" s="123"/>
      <c r="G57" s="135">
        <f t="shared" si="2"/>
        <v>0</v>
      </c>
      <c r="H57" s="141" t="e">
        <f t="shared" si="13"/>
        <v>#DIV/0!</v>
      </c>
      <c r="I57" s="208">
        <f t="shared" si="14"/>
        <v>0</v>
      </c>
      <c r="J57" s="208">
        <f t="shared" si="15"/>
        <v>0</v>
      </c>
      <c r="K57" s="208">
        <f t="shared" si="16"/>
        <v>0</v>
      </c>
    </row>
    <row r="58" spans="1:11" s="118" customFormat="1" ht="26.25" customHeight="1" x14ac:dyDescent="0.2">
      <c r="A58" s="119"/>
      <c r="B58" s="120"/>
      <c r="C58" s="121" t="s">
        <v>299</v>
      </c>
      <c r="D58" s="122"/>
      <c r="E58" s="123"/>
      <c r="F58" s="123"/>
      <c r="G58" s="135">
        <f t="shared" si="2"/>
        <v>0</v>
      </c>
      <c r="H58" s="141" t="e">
        <f t="shared" si="13"/>
        <v>#DIV/0!</v>
      </c>
      <c r="I58" s="208">
        <f t="shared" si="14"/>
        <v>0</v>
      </c>
      <c r="J58" s="208">
        <f t="shared" si="15"/>
        <v>0</v>
      </c>
      <c r="K58" s="208">
        <f t="shared" si="16"/>
        <v>0</v>
      </c>
    </row>
    <row r="59" spans="1:11" s="118" customFormat="1" ht="12.75" customHeight="1" x14ac:dyDescent="0.2">
      <c r="A59" s="459"/>
      <c r="B59" s="460"/>
      <c r="C59" s="461" t="s">
        <v>18</v>
      </c>
      <c r="D59" s="462"/>
      <c r="E59" s="463">
        <v>47887</v>
      </c>
      <c r="F59" s="463">
        <v>41764</v>
      </c>
      <c r="G59" s="136">
        <f t="shared" si="2"/>
        <v>6123</v>
      </c>
      <c r="H59" s="141">
        <f t="shared" si="13"/>
        <v>14.7</v>
      </c>
      <c r="I59" s="208">
        <f t="shared" si="14"/>
        <v>1.4500000000000001E-2</v>
      </c>
      <c r="J59" s="208">
        <f t="shared" si="15"/>
        <v>1.37E-2</v>
      </c>
      <c r="K59" s="208">
        <f t="shared" si="16"/>
        <v>8.0000000000000004E-4</v>
      </c>
    </row>
    <row r="60" spans="1:11" s="118" customFormat="1" ht="12.75" customHeight="1" x14ac:dyDescent="0.2">
      <c r="A60" s="124"/>
      <c r="B60" s="125"/>
      <c r="C60" s="126" t="s">
        <v>313</v>
      </c>
      <c r="D60" s="127"/>
      <c r="E60" s="128"/>
      <c r="F60" s="128"/>
      <c r="G60" s="420"/>
      <c r="H60" s="141" t="e">
        <f t="shared" si="13"/>
        <v>#DIV/0!</v>
      </c>
      <c r="I60" s="208">
        <f t="shared" si="14"/>
        <v>0</v>
      </c>
      <c r="J60" s="208">
        <f t="shared" si="15"/>
        <v>0</v>
      </c>
      <c r="K60" s="208">
        <f t="shared" si="16"/>
        <v>0</v>
      </c>
    </row>
    <row r="61" spans="1:11" s="11" customFormat="1" ht="12" x14ac:dyDescent="0.2">
      <c r="A61" s="17"/>
      <c r="B61" s="21"/>
      <c r="C61" s="38" t="s">
        <v>27</v>
      </c>
      <c r="D61" s="24"/>
      <c r="E61" s="109">
        <f>SUM(E53:E60)</f>
        <v>150371</v>
      </c>
      <c r="F61" s="109">
        <f>SUM(F53:F60)</f>
        <v>91305</v>
      </c>
      <c r="G61" s="143">
        <f t="shared" si="2"/>
        <v>59066</v>
      </c>
      <c r="H61" s="144">
        <f>E61/F61*100-100</f>
        <v>64.7</v>
      </c>
      <c r="I61" s="146">
        <f>SUM(I52:I59)</f>
        <v>4.5600000000000002E-2</v>
      </c>
      <c r="J61" s="146">
        <f>SUM(J52:J59)</f>
        <v>0.03</v>
      </c>
      <c r="K61" s="146">
        <f>SUM(K52:K59)</f>
        <v>1.5599999999999999E-2</v>
      </c>
    </row>
    <row r="62" spans="1:11" s="11" customFormat="1" ht="12" x14ac:dyDescent="0.2">
      <c r="A62" s="6"/>
      <c r="B62" s="7" t="s">
        <v>300</v>
      </c>
      <c r="C62" s="8"/>
      <c r="D62" s="9"/>
      <c r="E62" s="111"/>
      <c r="F62" s="111"/>
      <c r="G62" s="134">
        <f t="shared" si="2"/>
        <v>0</v>
      </c>
      <c r="H62" s="139"/>
      <c r="I62" s="142"/>
      <c r="J62" s="142"/>
      <c r="K62" s="142"/>
    </row>
    <row r="63" spans="1:11" s="118" customFormat="1" ht="24" x14ac:dyDescent="0.2">
      <c r="A63" s="113"/>
      <c r="B63" s="114"/>
      <c r="C63" s="115" t="s">
        <v>301</v>
      </c>
      <c r="D63" s="116"/>
      <c r="E63" s="117"/>
      <c r="F63" s="117"/>
      <c r="G63" s="135">
        <f t="shared" si="2"/>
        <v>0</v>
      </c>
      <c r="H63" s="141" t="e">
        <f t="shared" ref="H63:H71" si="17">E63/F63*100-100</f>
        <v>#DIV/0!</v>
      </c>
      <c r="I63" s="208">
        <f>E63/$E$71</f>
        <v>0</v>
      </c>
      <c r="J63" s="208">
        <f>F63/$F$71</f>
        <v>0</v>
      </c>
      <c r="K63" s="208">
        <f>SUM(I63-J63)</f>
        <v>0</v>
      </c>
    </row>
    <row r="64" spans="1:11" s="118" customFormat="1" ht="12" x14ac:dyDescent="0.2">
      <c r="A64" s="119"/>
      <c r="B64" s="120"/>
      <c r="C64" s="121" t="s">
        <v>23</v>
      </c>
      <c r="D64" s="122"/>
      <c r="E64" s="123"/>
      <c r="F64" s="123"/>
      <c r="G64" s="135">
        <f t="shared" si="2"/>
        <v>0</v>
      </c>
      <c r="H64" s="141" t="e">
        <f t="shared" si="17"/>
        <v>#DIV/0!</v>
      </c>
      <c r="I64" s="208">
        <f>E64/$E$71</f>
        <v>0</v>
      </c>
      <c r="J64" s="208">
        <f>F64/$F$71</f>
        <v>0</v>
      </c>
      <c r="K64" s="208">
        <f>SUM(I64-J64)</f>
        <v>0</v>
      </c>
    </row>
    <row r="65" spans="1:11" s="118" customFormat="1" ht="24" x14ac:dyDescent="0.2">
      <c r="A65" s="124"/>
      <c r="B65" s="125"/>
      <c r="C65" s="126" t="s">
        <v>24</v>
      </c>
      <c r="D65" s="127"/>
      <c r="E65" s="128"/>
      <c r="F65" s="128"/>
      <c r="G65" s="136">
        <f t="shared" si="2"/>
        <v>0</v>
      </c>
      <c r="H65" s="141" t="e">
        <f t="shared" si="17"/>
        <v>#DIV/0!</v>
      </c>
      <c r="I65" s="208">
        <f>E65/$E$71</f>
        <v>0</v>
      </c>
      <c r="J65" s="208">
        <f>F65/$F$71</f>
        <v>0</v>
      </c>
      <c r="K65" s="208">
        <f>SUM(I65-J65)</f>
        <v>0</v>
      </c>
    </row>
    <row r="66" spans="1:11" s="118" customFormat="1" ht="12" x14ac:dyDescent="0.2">
      <c r="A66" s="124"/>
      <c r="B66" s="125"/>
      <c r="C66" s="126" t="s">
        <v>302</v>
      </c>
      <c r="D66" s="127"/>
      <c r="E66" s="128"/>
      <c r="F66" s="128"/>
      <c r="G66" s="420"/>
      <c r="H66" s="141" t="e">
        <f t="shared" si="17"/>
        <v>#DIV/0!</v>
      </c>
      <c r="I66" s="208">
        <f>E66/$E$71</f>
        <v>0</v>
      </c>
      <c r="J66" s="208">
        <f>F66/$F$71</f>
        <v>0</v>
      </c>
      <c r="K66" s="208">
        <f>SUM(I66-J66)</f>
        <v>0</v>
      </c>
    </row>
    <row r="67" spans="1:11" s="11" customFormat="1" ht="11.25" customHeight="1" x14ac:dyDescent="0.2">
      <c r="A67" s="17"/>
      <c r="B67" s="21"/>
      <c r="C67" s="38" t="s">
        <v>28</v>
      </c>
      <c r="D67" s="24"/>
      <c r="E67" s="109">
        <f>SUM(E63:E66)</f>
        <v>0</v>
      </c>
      <c r="F67" s="109">
        <f>SUM(F63:F66)</f>
        <v>0</v>
      </c>
      <c r="G67" s="143">
        <f t="shared" si="2"/>
        <v>0</v>
      </c>
      <c r="H67" s="144" t="e">
        <f t="shared" si="17"/>
        <v>#DIV/0!</v>
      </c>
      <c r="I67" s="145">
        <f>SUM(I62:I65)</f>
        <v>0</v>
      </c>
      <c r="J67" s="145">
        <f>SUM(J62:J65)</f>
        <v>0</v>
      </c>
      <c r="K67" s="145">
        <f>SUM(K62:K65)</f>
        <v>0</v>
      </c>
    </row>
    <row r="68" spans="1:11" s="11" customFormat="1" ht="14.25" customHeight="1" x14ac:dyDescent="0.2">
      <c r="A68" s="17"/>
      <c r="B68" s="18" t="s">
        <v>296</v>
      </c>
      <c r="C68" s="25"/>
      <c r="D68" s="19"/>
      <c r="E68" s="112">
        <v>710897</v>
      </c>
      <c r="F68" s="112">
        <v>891141</v>
      </c>
      <c r="G68" s="133">
        <f t="shared" si="2"/>
        <v>-180244</v>
      </c>
      <c r="H68" s="141">
        <f t="shared" si="17"/>
        <v>-20.2</v>
      </c>
      <c r="I68" s="142">
        <f>E68/$E$71</f>
        <v>0.21540000000000001</v>
      </c>
      <c r="J68" s="149">
        <f>F68/$F$71</f>
        <v>0.29330000000000001</v>
      </c>
      <c r="K68" s="142">
        <f>SUM(I68-J68)</f>
        <v>-7.7899999999999997E-2</v>
      </c>
    </row>
    <row r="69" spans="1:11" s="11" customFormat="1" ht="12" x14ac:dyDescent="0.2">
      <c r="A69" s="17"/>
      <c r="B69" s="21"/>
      <c r="C69" s="38" t="s">
        <v>286</v>
      </c>
      <c r="D69" s="24"/>
      <c r="E69" s="109">
        <f>E68</f>
        <v>710897</v>
      </c>
      <c r="F69" s="109">
        <f>F68</f>
        <v>891141</v>
      </c>
      <c r="G69" s="143">
        <f t="shared" si="2"/>
        <v>-180244</v>
      </c>
      <c r="H69" s="260">
        <f t="shared" si="17"/>
        <v>-20.2</v>
      </c>
      <c r="I69" s="148">
        <f>SUM(I68)</f>
        <v>0.21540000000000001</v>
      </c>
      <c r="J69" s="148">
        <f>SUM(J68)</f>
        <v>0.29330000000000001</v>
      </c>
      <c r="K69" s="148">
        <f>SUM(K68)</f>
        <v>-7.7899999999999997E-2</v>
      </c>
    </row>
    <row r="70" spans="1:11" s="11" customFormat="1" ht="11.25" customHeight="1" x14ac:dyDescent="0.2">
      <c r="A70" s="20" t="s">
        <v>29</v>
      </c>
      <c r="B70" s="21"/>
      <c r="C70" s="26"/>
      <c r="D70" s="24"/>
      <c r="E70" s="109">
        <f>E49+E51+E61+E67+E69</f>
        <v>955560</v>
      </c>
      <c r="F70" s="109">
        <f>F49+F51+F61+F67+F69</f>
        <v>1082895</v>
      </c>
      <c r="G70" s="143">
        <f t="shared" si="2"/>
        <v>-127335</v>
      </c>
      <c r="H70" s="260">
        <f t="shared" si="17"/>
        <v>-11.8</v>
      </c>
      <c r="I70" s="148">
        <f>SUM(I69,I67,I61,I49)</f>
        <v>0.28949999999999998</v>
      </c>
      <c r="J70" s="148">
        <f>SUM(J69,J67,J61,J49)</f>
        <v>0.35630000000000001</v>
      </c>
      <c r="K70" s="148">
        <f>SUM(K69,K67,K61,K49)</f>
        <v>-6.6799999999999998E-2</v>
      </c>
    </row>
    <row r="71" spans="1:11" s="11" customFormat="1" ht="12.75" customHeight="1" x14ac:dyDescent="0.2">
      <c r="A71" s="20" t="s">
        <v>30</v>
      </c>
      <c r="B71" s="21"/>
      <c r="C71" s="26"/>
      <c r="D71" s="24"/>
      <c r="E71" s="109">
        <f>E70+E40</f>
        <v>3300592</v>
      </c>
      <c r="F71" s="109">
        <f>F70+F40</f>
        <v>3038741</v>
      </c>
      <c r="G71" s="143">
        <f t="shared" si="2"/>
        <v>261851</v>
      </c>
      <c r="H71" s="260">
        <f t="shared" si="17"/>
        <v>8.6</v>
      </c>
      <c r="I71" s="148">
        <f>SUM(I70,I40)</f>
        <v>1</v>
      </c>
      <c r="J71" s="148">
        <f>SUM(J70,J40)</f>
        <v>0.99990000000000001</v>
      </c>
      <c r="K71" s="148">
        <f>SUM(K70,K40)</f>
        <v>1E-4</v>
      </c>
    </row>
  </sheetData>
  <mergeCells count="12">
    <mergeCell ref="C4:K4"/>
    <mergeCell ref="F6:F7"/>
    <mergeCell ref="A8:C8"/>
    <mergeCell ref="A6:C7"/>
    <mergeCell ref="D6:D7"/>
    <mergeCell ref="E6:E7"/>
    <mergeCell ref="I2:K2"/>
    <mergeCell ref="I3:K3"/>
    <mergeCell ref="G3:H3"/>
    <mergeCell ref="G2:H2"/>
    <mergeCell ref="C2:F2"/>
    <mergeCell ref="C3:F3"/>
  </mergeCells>
  <phoneticPr fontId="0" type="noConversion"/>
  <conditionalFormatting sqref="I2">
    <cfRule type="cellIs" dxfId="6" priority="1" stopIfTrue="1" operator="equal">
      <formula>0</formula>
    </cfRule>
  </conditionalFormatting>
  <conditionalFormatting sqref="I7:J7 E6:F7">
    <cfRule type="cellIs" dxfId="5" priority="2" stopIfTrue="1" operator="equal">
      <formula>0</formula>
    </cfRule>
  </conditionalFormatting>
  <printOptions horizontalCentered="1"/>
  <pageMargins left="0.37" right="0.19685039370078741" top="0.65" bottom="0.79" header="0.43" footer="0.45"/>
  <pageSetup paperSize="9" orientation="landscape" verticalDpi="300" r:id="rId1"/>
  <headerFooter alignWithMargins="0">
    <oddHeader xml:space="preserve">&amp;R
</oddHeader>
    <oddFooter>&amp;LIzpildīja__________________
                        &amp;8/Paraksts/&amp;CPārbaudīja________________
             &amp;8 /Paraksts/&amp;R&amp;D/&amp;T/&amp;P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zoomScaleNormal="100" workbookViewId="0">
      <pane xSplit="12" ySplit="2" topLeftCell="M3" activePane="bottomRight" state="frozenSplit"/>
      <selection activeCell="A15" sqref="A15:B15"/>
      <selection pane="topRight" activeCell="A15" sqref="A15:B15"/>
      <selection pane="bottomLeft" activeCell="A15" sqref="A15:B15"/>
      <selection pane="bottomRight" activeCell="C2" sqref="C2:F2"/>
    </sheetView>
  </sheetViews>
  <sheetFormatPr defaultRowHeight="12.75" x14ac:dyDescent="0.2"/>
  <cols>
    <col min="1" max="1" width="3" customWidth="1"/>
    <col min="2" max="2" width="3.33203125" customWidth="1"/>
    <col min="3" max="3" width="33.83203125" customWidth="1"/>
    <col min="4" max="4" width="7" customWidth="1"/>
    <col min="5" max="5" width="11.5" bestFit="1" customWidth="1"/>
    <col min="6" max="6" width="11" customWidth="1"/>
    <col min="7" max="7" width="10.1640625" customWidth="1"/>
    <col min="8" max="8" width="11.6640625" customWidth="1"/>
    <col min="9" max="11" width="10.33203125" customWidth="1"/>
    <col min="13" max="13" width="19" customWidth="1"/>
  </cols>
  <sheetData>
    <row r="1" spans="1:12" ht="13.5" thickBot="1" x14ac:dyDescent="0.25"/>
    <row r="2" spans="1:12" s="218" customFormat="1" ht="18" customHeight="1" x14ac:dyDescent="0.25">
      <c r="A2" s="1"/>
      <c r="B2" s="202"/>
      <c r="C2" s="522" t="str">
        <f>Inform.ievad.!C3</f>
        <v>SIA"Daugavpils autobusu parks"</v>
      </c>
      <c r="D2" s="523"/>
      <c r="E2" s="523"/>
      <c r="F2" s="523"/>
      <c r="G2" s="505" t="str">
        <f>Inform.ievad.!C5</f>
        <v>2018. gads</v>
      </c>
      <c r="H2" s="506"/>
      <c r="I2" s="526" t="str">
        <f>Inform.ievad.!C7</f>
        <v>Finanšu analīze</v>
      </c>
      <c r="J2" s="526"/>
      <c r="K2" s="527"/>
      <c r="L2" s="389"/>
    </row>
    <row r="3" spans="1:12" s="218" customFormat="1" ht="10.5" customHeight="1" x14ac:dyDescent="0.2">
      <c r="A3" s="1"/>
      <c r="B3" s="202"/>
      <c r="C3" s="524" t="s">
        <v>271</v>
      </c>
      <c r="D3" s="525"/>
      <c r="E3" s="525"/>
      <c r="F3" s="525"/>
      <c r="G3" s="504"/>
      <c r="H3" s="504"/>
      <c r="I3" s="528" t="s">
        <v>272</v>
      </c>
      <c r="J3" s="528"/>
      <c r="K3" s="529"/>
    </row>
    <row r="4" spans="1:12" s="218" customFormat="1" ht="18" customHeight="1" thickBot="1" x14ac:dyDescent="0.3">
      <c r="A4" s="1"/>
      <c r="B4" s="202"/>
      <c r="C4" s="493" t="s">
        <v>189</v>
      </c>
      <c r="D4" s="530"/>
      <c r="E4" s="530"/>
      <c r="F4" s="530"/>
      <c r="G4" s="530"/>
      <c r="H4" s="530"/>
      <c r="I4" s="530"/>
      <c r="J4" s="530"/>
      <c r="K4" s="531"/>
    </row>
    <row r="5" spans="1:12" x14ac:dyDescent="0.2">
      <c r="L5" s="218"/>
    </row>
    <row r="6" spans="1:12" s="237" customFormat="1" ht="23.25" customHeight="1" x14ac:dyDescent="0.2">
      <c r="A6" s="513" t="s">
        <v>181</v>
      </c>
      <c r="B6" s="514"/>
      <c r="C6" s="515"/>
      <c r="D6" s="519"/>
      <c r="E6" s="534" t="str">
        <f>Aktīvs!E6</f>
        <v>uz 31.12.2018.</v>
      </c>
      <c r="F6" s="534" t="str">
        <f>Aktīvs!F6</f>
        <v>uz 31.12.2017.</v>
      </c>
      <c r="G6" s="236" t="s">
        <v>185</v>
      </c>
      <c r="H6" s="236" t="s">
        <v>182</v>
      </c>
      <c r="I6" s="236" t="s">
        <v>192</v>
      </c>
      <c r="J6" s="236" t="s">
        <v>192</v>
      </c>
      <c r="K6" s="236" t="s">
        <v>193</v>
      </c>
      <c r="L6" s="218"/>
    </row>
    <row r="7" spans="1:12" s="237" customFormat="1" ht="18" customHeight="1" x14ac:dyDescent="0.2">
      <c r="A7" s="516"/>
      <c r="B7" s="517"/>
      <c r="C7" s="518"/>
      <c r="D7" s="520"/>
      <c r="E7" s="534"/>
      <c r="F7" s="534"/>
      <c r="G7" s="238" t="s">
        <v>186</v>
      </c>
      <c r="H7" s="238" t="s">
        <v>183</v>
      </c>
      <c r="I7" s="439" t="str">
        <f>Inform.ievad.!C5</f>
        <v>2018. gads</v>
      </c>
      <c r="J7" s="439" t="str">
        <f>Inform.ievad.!C9</f>
        <v>2017. gads</v>
      </c>
      <c r="K7" s="238" t="s">
        <v>184</v>
      </c>
      <c r="L7" s="218"/>
    </row>
    <row r="8" spans="1:12" s="35" customFormat="1" ht="10.5" customHeight="1" x14ac:dyDescent="0.2">
      <c r="A8" s="510">
        <v>1</v>
      </c>
      <c r="B8" s="511"/>
      <c r="C8" s="512"/>
      <c r="D8" s="37" t="s">
        <v>166</v>
      </c>
      <c r="E8" s="36">
        <v>3</v>
      </c>
      <c r="F8" s="36">
        <v>4</v>
      </c>
      <c r="G8" s="36">
        <v>5</v>
      </c>
      <c r="H8" s="36">
        <v>6</v>
      </c>
      <c r="I8" s="36">
        <v>7</v>
      </c>
      <c r="J8" s="36">
        <v>8</v>
      </c>
      <c r="K8" s="36">
        <v>9</v>
      </c>
    </row>
    <row r="9" spans="1:12" s="27" customFormat="1" x14ac:dyDescent="0.2">
      <c r="A9" s="337" t="s">
        <v>31</v>
      </c>
      <c r="B9" s="337"/>
      <c r="C9" s="338"/>
      <c r="D9" s="345"/>
      <c r="E9" s="335"/>
      <c r="F9" s="335"/>
      <c r="G9" s="346"/>
      <c r="H9" s="328"/>
      <c r="I9" s="347"/>
      <c r="J9" s="348"/>
      <c r="K9" s="149"/>
      <c r="L9" s="218"/>
    </row>
    <row r="10" spans="1:12" s="399" customFormat="1" ht="12" customHeight="1" x14ac:dyDescent="0.2">
      <c r="A10" s="390"/>
      <c r="B10" s="390"/>
      <c r="C10" s="391" t="s">
        <v>57</v>
      </c>
      <c r="D10" s="392"/>
      <c r="E10" s="393">
        <v>5032413</v>
      </c>
      <c r="F10" s="393">
        <v>5032413</v>
      </c>
      <c r="G10" s="394">
        <f t="shared" ref="G10:G22" si="0">SUM(E10-F10)</f>
        <v>0</v>
      </c>
      <c r="H10" s="395">
        <f>E10/F10*100-100</f>
        <v>0</v>
      </c>
      <c r="I10" s="396">
        <f>E10/$E$64</f>
        <v>1.5246999999999999</v>
      </c>
      <c r="J10" s="397">
        <f t="shared" ref="J10:J18" si="1">F10/$F$64</f>
        <v>1.6560999999999999</v>
      </c>
      <c r="K10" s="398">
        <f>SUM(I10-J10)</f>
        <v>-0.13139999999999999</v>
      </c>
      <c r="L10" s="324"/>
    </row>
    <row r="11" spans="1:12" s="399" customFormat="1" ht="15" customHeight="1" x14ac:dyDescent="0.2">
      <c r="A11" s="400"/>
      <c r="B11" s="400"/>
      <c r="C11" s="401" t="s">
        <v>303</v>
      </c>
      <c r="D11" s="402"/>
      <c r="E11" s="403"/>
      <c r="F11" s="403"/>
      <c r="G11" s="404">
        <f t="shared" si="0"/>
        <v>0</v>
      </c>
      <c r="H11" s="405" t="e">
        <f t="shared" ref="H11:H18" si="2">E11/F11*100-100</f>
        <v>#DIV/0!</v>
      </c>
      <c r="I11" s="406">
        <f t="shared" ref="I11:I18" si="3">E11/$E$64</f>
        <v>0</v>
      </c>
      <c r="J11" s="407">
        <f t="shared" si="1"/>
        <v>0</v>
      </c>
      <c r="K11" s="408">
        <f t="shared" ref="K11:K18" si="4">SUM(I11-J11)</f>
        <v>0</v>
      </c>
      <c r="L11" s="324"/>
    </row>
    <row r="12" spans="1:12" s="399" customFormat="1" ht="28.5" customHeight="1" x14ac:dyDescent="0.2">
      <c r="A12" s="400"/>
      <c r="B12" s="400"/>
      <c r="C12" s="401" t="s">
        <v>32</v>
      </c>
      <c r="D12" s="402"/>
      <c r="E12" s="403"/>
      <c r="F12" s="403"/>
      <c r="G12" s="404">
        <f t="shared" si="0"/>
        <v>0</v>
      </c>
      <c r="H12" s="405" t="e">
        <f t="shared" si="2"/>
        <v>#DIV/0!</v>
      </c>
      <c r="I12" s="406">
        <f t="shared" si="3"/>
        <v>0</v>
      </c>
      <c r="J12" s="407">
        <f t="shared" si="1"/>
        <v>0</v>
      </c>
      <c r="K12" s="408">
        <f t="shared" si="4"/>
        <v>0</v>
      </c>
    </row>
    <row r="13" spans="1:12" s="399" customFormat="1" ht="27" customHeight="1" x14ac:dyDescent="0.2">
      <c r="A13" s="400"/>
      <c r="B13" s="400"/>
      <c r="C13" s="401" t="s">
        <v>305</v>
      </c>
      <c r="D13" s="402"/>
      <c r="E13" s="403"/>
      <c r="F13" s="403"/>
      <c r="G13" s="404"/>
      <c r="H13" s="405" t="e">
        <f t="shared" si="2"/>
        <v>#DIV/0!</v>
      </c>
      <c r="I13" s="406">
        <f t="shared" si="3"/>
        <v>0</v>
      </c>
      <c r="J13" s="407">
        <f t="shared" si="1"/>
        <v>0</v>
      </c>
      <c r="K13" s="408">
        <f t="shared" si="4"/>
        <v>0</v>
      </c>
    </row>
    <row r="14" spans="1:12" s="399" customFormat="1" ht="12" customHeight="1" x14ac:dyDescent="0.2">
      <c r="A14" s="400"/>
      <c r="B14" s="400"/>
      <c r="C14" s="401" t="s">
        <v>304</v>
      </c>
      <c r="D14" s="402"/>
      <c r="E14" s="403"/>
      <c r="F14" s="403"/>
      <c r="G14" s="404"/>
      <c r="H14" s="405"/>
      <c r="I14" s="406"/>
      <c r="J14" s="407"/>
      <c r="K14" s="408"/>
    </row>
    <row r="15" spans="1:12" s="399" customFormat="1" ht="12" customHeight="1" x14ac:dyDescent="0.2">
      <c r="A15" s="400"/>
      <c r="B15" s="400"/>
      <c r="C15" s="401" t="s">
        <v>33</v>
      </c>
      <c r="D15" s="402"/>
      <c r="E15" s="403"/>
      <c r="F15" s="403"/>
      <c r="G15" s="404">
        <f t="shared" si="0"/>
        <v>0</v>
      </c>
      <c r="H15" s="405" t="e">
        <f t="shared" si="2"/>
        <v>#DIV/0!</v>
      </c>
      <c r="I15" s="406">
        <f t="shared" si="3"/>
        <v>0</v>
      </c>
      <c r="J15" s="407">
        <f t="shared" si="1"/>
        <v>0</v>
      </c>
      <c r="K15" s="408">
        <f t="shared" si="4"/>
        <v>0</v>
      </c>
    </row>
    <row r="16" spans="1:12" s="399" customFormat="1" ht="12" customHeight="1" x14ac:dyDescent="0.2">
      <c r="A16" s="400"/>
      <c r="B16" s="400"/>
      <c r="C16" s="401" t="s">
        <v>34</v>
      </c>
      <c r="D16" s="402"/>
      <c r="E16" s="403"/>
      <c r="F16" s="403"/>
      <c r="G16" s="404">
        <f t="shared" si="0"/>
        <v>0</v>
      </c>
      <c r="H16" s="405" t="e">
        <f t="shared" si="2"/>
        <v>#DIV/0!</v>
      </c>
      <c r="I16" s="406">
        <f t="shared" si="3"/>
        <v>0</v>
      </c>
      <c r="J16" s="407">
        <f t="shared" si="1"/>
        <v>0</v>
      </c>
      <c r="K16" s="408">
        <f t="shared" si="4"/>
        <v>0</v>
      </c>
    </row>
    <row r="17" spans="1:11" s="399" customFormat="1" ht="12" customHeight="1" x14ac:dyDescent="0.2">
      <c r="A17" s="400"/>
      <c r="B17" s="400"/>
      <c r="C17" s="401" t="s">
        <v>35</v>
      </c>
      <c r="D17" s="402"/>
      <c r="E17" s="403"/>
      <c r="F17" s="403"/>
      <c r="G17" s="404">
        <f t="shared" si="0"/>
        <v>0</v>
      </c>
      <c r="H17" s="405" t="e">
        <f t="shared" si="2"/>
        <v>#DIV/0!</v>
      </c>
      <c r="I17" s="406">
        <f t="shared" si="3"/>
        <v>0</v>
      </c>
      <c r="J17" s="407">
        <f t="shared" si="1"/>
        <v>0</v>
      </c>
      <c r="K17" s="408">
        <f t="shared" si="4"/>
        <v>0</v>
      </c>
    </row>
    <row r="18" spans="1:11" s="399" customFormat="1" ht="12" customHeight="1" x14ac:dyDescent="0.2">
      <c r="A18" s="409"/>
      <c r="B18" s="409"/>
      <c r="C18" s="410" t="s">
        <v>36</v>
      </c>
      <c r="D18" s="411"/>
      <c r="E18" s="412"/>
      <c r="F18" s="412"/>
      <c r="G18" s="413">
        <f t="shared" si="0"/>
        <v>0</v>
      </c>
      <c r="H18" s="405" t="e">
        <f t="shared" si="2"/>
        <v>#DIV/0!</v>
      </c>
      <c r="I18" s="406">
        <f t="shared" si="3"/>
        <v>0</v>
      </c>
      <c r="J18" s="407">
        <f t="shared" si="1"/>
        <v>0</v>
      </c>
      <c r="K18" s="408">
        <f t="shared" si="4"/>
        <v>0</v>
      </c>
    </row>
    <row r="19" spans="1:11" s="76" customFormat="1" ht="12" x14ac:dyDescent="0.2">
      <c r="A19" s="178"/>
      <c r="B19" s="178"/>
      <c r="C19" s="179" t="s">
        <v>37</v>
      </c>
      <c r="D19" s="180"/>
      <c r="E19" s="197">
        <f>SUM(E15:E18)</f>
        <v>0</v>
      </c>
      <c r="F19" s="197">
        <f>SUM(F15:F18)</f>
        <v>0</v>
      </c>
      <c r="G19" s="181">
        <f t="shared" si="0"/>
        <v>0</v>
      </c>
      <c r="H19" s="182" t="e">
        <f>E19/F19*100-100</f>
        <v>#DIV/0!</v>
      </c>
      <c r="I19" s="183">
        <f>SUM(I10:I18)</f>
        <v>1.5246999999999999</v>
      </c>
      <c r="J19" s="183">
        <f>SUM(J10:J18)</f>
        <v>1.6560999999999999</v>
      </c>
      <c r="K19" s="184">
        <f>SUM(K10:K18)</f>
        <v>-0.13139999999999999</v>
      </c>
    </row>
    <row r="20" spans="1:11" s="76" customFormat="1" ht="12" customHeight="1" x14ac:dyDescent="0.2">
      <c r="A20" s="161"/>
      <c r="B20" s="161"/>
      <c r="C20" s="162" t="s">
        <v>306</v>
      </c>
      <c r="D20" s="163"/>
      <c r="E20" s="245"/>
      <c r="F20" s="245"/>
      <c r="G20" s="185"/>
      <c r="H20" s="186"/>
      <c r="I20" s="171"/>
      <c r="J20" s="172"/>
      <c r="K20" s="187"/>
    </row>
    <row r="21" spans="1:11" s="76" customFormat="1" ht="15" customHeight="1" x14ac:dyDescent="0.2">
      <c r="A21" s="165"/>
      <c r="B21" s="165"/>
      <c r="C21" s="166" t="s">
        <v>38</v>
      </c>
      <c r="D21" s="167"/>
      <c r="E21" s="193">
        <f>F21+F22</f>
        <v>-3471062</v>
      </c>
      <c r="F21" s="193">
        <v>-3703973</v>
      </c>
      <c r="G21" s="169">
        <f t="shared" si="0"/>
        <v>232911</v>
      </c>
      <c r="H21" s="186">
        <f>E21/F21*100-100</f>
        <v>-6.3</v>
      </c>
      <c r="I21" s="171">
        <f>E21/$E$64</f>
        <v>-1.0516000000000001</v>
      </c>
      <c r="J21" s="172">
        <f>F21/$F$64</f>
        <v>-1.2189000000000001</v>
      </c>
      <c r="K21" s="164">
        <f>SUM(I21-J21)</f>
        <v>0.1673</v>
      </c>
    </row>
    <row r="22" spans="1:11" s="76" customFormat="1" ht="12" customHeight="1" x14ac:dyDescent="0.2">
      <c r="A22" s="173"/>
      <c r="B22" s="173"/>
      <c r="C22" s="174" t="s">
        <v>39</v>
      </c>
      <c r="D22" s="175"/>
      <c r="E22" s="415">
        <f>PZA!E26</f>
        <v>39500</v>
      </c>
      <c r="F22" s="415">
        <f>PZA!F26</f>
        <v>232911</v>
      </c>
      <c r="G22" s="176">
        <f t="shared" si="0"/>
        <v>-193411</v>
      </c>
      <c r="H22" s="186">
        <f>E22/F22*100-100</f>
        <v>-83</v>
      </c>
      <c r="I22" s="171">
        <f>E22/$E$64</f>
        <v>1.2E-2</v>
      </c>
      <c r="J22" s="172">
        <f>F22/$F$64</f>
        <v>7.6600000000000001E-2</v>
      </c>
      <c r="K22" s="177">
        <f>SUM(I22-J22)</f>
        <v>-6.4600000000000005E-2</v>
      </c>
    </row>
    <row r="23" spans="1:11" s="76" customFormat="1" ht="13.5" customHeight="1" x14ac:dyDescent="0.2">
      <c r="A23" s="34" t="s">
        <v>10</v>
      </c>
      <c r="B23" s="188"/>
      <c r="C23" s="189"/>
      <c r="D23" s="180"/>
      <c r="E23" s="197">
        <f>SUM(E21:E22)+E19+E10+E11+E12</f>
        <v>1600851</v>
      </c>
      <c r="F23" s="197">
        <f>SUM(F21:F22)+F19+F10+F11+F12</f>
        <v>1561351</v>
      </c>
      <c r="G23" s="190">
        <f t="shared" ref="G23:G43" si="5">SUM(E23-F23)</f>
        <v>39500</v>
      </c>
      <c r="H23" s="191">
        <f>E23/F23*100-100</f>
        <v>2.5</v>
      </c>
      <c r="I23" s="192">
        <f>SUM(I21:I22,I10:I18)</f>
        <v>0.48509999999999998</v>
      </c>
      <c r="J23" s="192">
        <f>SUM(J21:J22,J10:J18)</f>
        <v>0.51380000000000003</v>
      </c>
      <c r="K23" s="192">
        <f>SUM(K20:K22)</f>
        <v>0.1027</v>
      </c>
    </row>
    <row r="24" spans="1:11" s="27" customFormat="1" ht="12" x14ac:dyDescent="0.2">
      <c r="A24" s="337" t="s">
        <v>40</v>
      </c>
      <c r="B24" s="337"/>
      <c r="C24" s="338"/>
      <c r="D24" s="9"/>
      <c r="E24" s="110"/>
      <c r="F24" s="110"/>
      <c r="G24" s="349">
        <f t="shared" si="5"/>
        <v>0</v>
      </c>
      <c r="H24" s="350"/>
      <c r="I24" s="351"/>
      <c r="J24" s="352"/>
      <c r="K24" s="353"/>
    </row>
    <row r="25" spans="1:11" s="76" customFormat="1" ht="23.25" customHeight="1" x14ac:dyDescent="0.2">
      <c r="A25" s="342"/>
      <c r="B25" s="342"/>
      <c r="C25" s="343" t="s">
        <v>41</v>
      </c>
      <c r="D25" s="344"/>
      <c r="E25" s="336"/>
      <c r="F25" s="336"/>
      <c r="G25" s="185">
        <f t="shared" si="5"/>
        <v>0</v>
      </c>
      <c r="H25" s="186" t="e">
        <f>E25/F25*100-100</f>
        <v>#DIV/0!</v>
      </c>
      <c r="I25" s="333">
        <f>E25/$E$64</f>
        <v>0</v>
      </c>
      <c r="J25" s="334">
        <f>F25/$F$64</f>
        <v>0</v>
      </c>
      <c r="K25" s="187">
        <f>SUM(I25-J25)</f>
        <v>0</v>
      </c>
    </row>
    <row r="26" spans="1:11" s="76" customFormat="1" ht="12" customHeight="1" x14ac:dyDescent="0.2">
      <c r="A26" s="165"/>
      <c r="B26" s="165"/>
      <c r="C26" s="166" t="s">
        <v>58</v>
      </c>
      <c r="D26" s="167"/>
      <c r="E26" s="193"/>
      <c r="F26" s="193"/>
      <c r="G26" s="169">
        <f t="shared" si="5"/>
        <v>0</v>
      </c>
      <c r="H26" s="170" t="e">
        <f>E26/F26*100-100</f>
        <v>#DIV/0!</v>
      </c>
      <c r="I26" s="171">
        <f>E26/$E$64</f>
        <v>0</v>
      </c>
      <c r="J26" s="172">
        <f>F26/$F$64</f>
        <v>0</v>
      </c>
      <c r="K26" s="164">
        <f>SUM(I26-J26)</f>
        <v>0</v>
      </c>
    </row>
    <row r="27" spans="1:11" s="76" customFormat="1" ht="12" customHeight="1" x14ac:dyDescent="0.2">
      <c r="A27" s="173"/>
      <c r="B27" s="173"/>
      <c r="C27" s="174" t="s">
        <v>42</v>
      </c>
      <c r="D27" s="175"/>
      <c r="E27" s="198"/>
      <c r="F27" s="198"/>
      <c r="G27" s="176">
        <f t="shared" si="5"/>
        <v>0</v>
      </c>
      <c r="H27" s="170" t="e">
        <f>E27/F27*100-100</f>
        <v>#DIV/0!</v>
      </c>
      <c r="I27" s="171">
        <f>E27/$E$64</f>
        <v>0</v>
      </c>
      <c r="J27" s="172">
        <f>F27/$F$64</f>
        <v>0</v>
      </c>
      <c r="K27" s="177">
        <f>SUM(I27-J27)</f>
        <v>0</v>
      </c>
    </row>
    <row r="28" spans="1:11" s="76" customFormat="1" ht="13.5" customHeight="1" x14ac:dyDescent="0.2">
      <c r="A28" s="34" t="s">
        <v>29</v>
      </c>
      <c r="B28" s="188"/>
      <c r="C28" s="189"/>
      <c r="D28" s="180"/>
      <c r="E28" s="197">
        <f>SUM(E25:E27)</f>
        <v>0</v>
      </c>
      <c r="F28" s="197">
        <f>SUM(F25:F27)</f>
        <v>0</v>
      </c>
      <c r="G28" s="190">
        <f t="shared" si="5"/>
        <v>0</v>
      </c>
      <c r="H28" s="191" t="e">
        <f>E28/F28*100-100</f>
        <v>#DIV/0!</v>
      </c>
      <c r="I28" s="192">
        <f>SUM(I24:I27)</f>
        <v>0</v>
      </c>
      <c r="J28" s="192">
        <f>SUM(J24:J27)</f>
        <v>0</v>
      </c>
      <c r="K28" s="192">
        <f>SUM(K24:K27)</f>
        <v>0</v>
      </c>
    </row>
    <row r="29" spans="1:11" s="27" customFormat="1" ht="12" x14ac:dyDescent="0.2">
      <c r="A29" s="337" t="s">
        <v>43</v>
      </c>
      <c r="B29" s="337"/>
      <c r="C29" s="338"/>
      <c r="D29" s="9"/>
      <c r="E29" s="110"/>
      <c r="F29" s="110"/>
      <c r="G29" s="327"/>
      <c r="H29" s="328"/>
      <c r="I29" s="329"/>
      <c r="J29" s="330"/>
      <c r="K29" s="331"/>
    </row>
    <row r="30" spans="1:11" s="27" customFormat="1" ht="12" x14ac:dyDescent="0.2">
      <c r="A30" s="339"/>
      <c r="B30" s="339" t="s">
        <v>44</v>
      </c>
      <c r="C30" s="340"/>
      <c r="D30" s="341"/>
      <c r="E30" s="244"/>
      <c r="F30" s="244"/>
      <c r="G30" s="151"/>
      <c r="H30" s="152"/>
      <c r="I30" s="333"/>
      <c r="J30" s="334"/>
      <c r="K30" s="153"/>
    </row>
    <row r="31" spans="1:11" s="76" customFormat="1" ht="12" customHeight="1" x14ac:dyDescent="0.2">
      <c r="A31" s="165"/>
      <c r="B31" s="165"/>
      <c r="C31" s="166" t="s">
        <v>45</v>
      </c>
      <c r="D31" s="167"/>
      <c r="E31" s="193"/>
      <c r="F31" s="193"/>
      <c r="G31" s="169">
        <f t="shared" si="5"/>
        <v>0</v>
      </c>
      <c r="H31" s="170" t="e">
        <f>E31/F31*100-100</f>
        <v>#DIV/0!</v>
      </c>
      <c r="I31" s="171">
        <f t="shared" ref="I31:I43" si="6">E31/$E$64</f>
        <v>0</v>
      </c>
      <c r="J31" s="172">
        <f t="shared" ref="J31:J43" si="7">F31/$F$64</f>
        <v>0</v>
      </c>
      <c r="K31" s="164">
        <f t="shared" ref="K31:K43" si="8">SUM(I31-J31)</f>
        <v>0</v>
      </c>
    </row>
    <row r="32" spans="1:11" s="76" customFormat="1" ht="12" customHeight="1" x14ac:dyDescent="0.2">
      <c r="A32" s="165"/>
      <c r="B32" s="165"/>
      <c r="C32" s="166" t="s">
        <v>46</v>
      </c>
      <c r="D32" s="167"/>
      <c r="E32" s="193"/>
      <c r="F32" s="193"/>
      <c r="G32" s="169">
        <f t="shared" si="5"/>
        <v>0</v>
      </c>
      <c r="H32" s="170" t="e">
        <f t="shared" ref="H32:H43" si="9">E32/F32*100-100</f>
        <v>#DIV/0!</v>
      </c>
      <c r="I32" s="171">
        <f t="shared" si="6"/>
        <v>0</v>
      </c>
      <c r="J32" s="172">
        <f t="shared" si="7"/>
        <v>0</v>
      </c>
      <c r="K32" s="164">
        <f t="shared" si="8"/>
        <v>0</v>
      </c>
    </row>
    <row r="33" spans="1:11" s="76" customFormat="1" ht="12" customHeight="1" x14ac:dyDescent="0.2">
      <c r="A33" s="165"/>
      <c r="B33" s="165"/>
      <c r="C33" s="166" t="s">
        <v>55</v>
      </c>
      <c r="D33" s="167"/>
      <c r="E33" s="193"/>
      <c r="F33" s="193"/>
      <c r="G33" s="169">
        <f t="shared" si="5"/>
        <v>0</v>
      </c>
      <c r="H33" s="170" t="e">
        <f t="shared" si="9"/>
        <v>#DIV/0!</v>
      </c>
      <c r="I33" s="171">
        <f t="shared" si="6"/>
        <v>0</v>
      </c>
      <c r="J33" s="172">
        <f t="shared" si="7"/>
        <v>0</v>
      </c>
      <c r="K33" s="164">
        <f t="shared" si="8"/>
        <v>0</v>
      </c>
    </row>
    <row r="34" spans="1:11" s="76" customFormat="1" ht="12" customHeight="1" x14ac:dyDescent="0.2">
      <c r="A34" s="165"/>
      <c r="B34" s="165"/>
      <c r="C34" s="166" t="s">
        <v>47</v>
      </c>
      <c r="D34" s="167"/>
      <c r="E34" s="193">
        <v>836712</v>
      </c>
      <c r="F34" s="193">
        <v>724030</v>
      </c>
      <c r="G34" s="169">
        <f t="shared" si="5"/>
        <v>112682</v>
      </c>
      <c r="H34" s="170">
        <f t="shared" si="9"/>
        <v>15.6</v>
      </c>
      <c r="I34" s="171">
        <f t="shared" si="6"/>
        <v>0.2535</v>
      </c>
      <c r="J34" s="172">
        <f t="shared" si="7"/>
        <v>0.23830000000000001</v>
      </c>
      <c r="K34" s="164">
        <f t="shared" si="8"/>
        <v>1.52E-2</v>
      </c>
    </row>
    <row r="35" spans="1:11" s="76" customFormat="1" ht="12" customHeight="1" x14ac:dyDescent="0.2">
      <c r="A35" s="165"/>
      <c r="B35" s="165"/>
      <c r="C35" s="166" t="s">
        <v>48</v>
      </c>
      <c r="D35" s="167"/>
      <c r="E35" s="193"/>
      <c r="F35" s="193"/>
      <c r="G35" s="169">
        <f t="shared" si="5"/>
        <v>0</v>
      </c>
      <c r="H35" s="170" t="e">
        <f t="shared" si="9"/>
        <v>#DIV/0!</v>
      </c>
      <c r="I35" s="171">
        <f t="shared" si="6"/>
        <v>0</v>
      </c>
      <c r="J35" s="172">
        <f t="shared" si="7"/>
        <v>0</v>
      </c>
      <c r="K35" s="164">
        <f t="shared" si="8"/>
        <v>0</v>
      </c>
    </row>
    <row r="36" spans="1:11" s="76" customFormat="1" ht="12" customHeight="1" x14ac:dyDescent="0.2">
      <c r="A36" s="165"/>
      <c r="B36" s="165"/>
      <c r="C36" s="166" t="s">
        <v>49</v>
      </c>
      <c r="D36" s="167"/>
      <c r="E36" s="193"/>
      <c r="F36" s="193"/>
      <c r="G36" s="169">
        <f t="shared" si="5"/>
        <v>0</v>
      </c>
      <c r="H36" s="170" t="e">
        <f t="shared" si="9"/>
        <v>#DIV/0!</v>
      </c>
      <c r="I36" s="171">
        <f t="shared" si="6"/>
        <v>0</v>
      </c>
      <c r="J36" s="172">
        <f t="shared" si="7"/>
        <v>0</v>
      </c>
      <c r="K36" s="164">
        <f t="shared" si="8"/>
        <v>0</v>
      </c>
    </row>
    <row r="37" spans="1:11" s="76" customFormat="1" ht="12" customHeight="1" x14ac:dyDescent="0.2">
      <c r="A37" s="165"/>
      <c r="B37" s="165"/>
      <c r="C37" s="166" t="s">
        <v>50</v>
      </c>
      <c r="D37" s="167"/>
      <c r="E37" s="193"/>
      <c r="F37" s="193"/>
      <c r="G37" s="169">
        <f t="shared" si="5"/>
        <v>0</v>
      </c>
      <c r="H37" s="170" t="e">
        <f t="shared" si="9"/>
        <v>#DIV/0!</v>
      </c>
      <c r="I37" s="171">
        <f t="shared" si="6"/>
        <v>0</v>
      </c>
      <c r="J37" s="172">
        <f t="shared" si="7"/>
        <v>0</v>
      </c>
      <c r="K37" s="164">
        <f t="shared" si="8"/>
        <v>0</v>
      </c>
    </row>
    <row r="38" spans="1:11" s="76" customFormat="1" ht="12" customHeight="1" x14ac:dyDescent="0.2">
      <c r="A38" s="165"/>
      <c r="B38" s="165"/>
      <c r="C38" s="166" t="s">
        <v>307</v>
      </c>
      <c r="D38" s="167"/>
      <c r="E38" s="193"/>
      <c r="F38" s="193"/>
      <c r="G38" s="169">
        <f t="shared" si="5"/>
        <v>0</v>
      </c>
      <c r="H38" s="170" t="e">
        <f t="shared" si="9"/>
        <v>#DIV/0!</v>
      </c>
      <c r="I38" s="171">
        <f t="shared" si="6"/>
        <v>0</v>
      </c>
      <c r="J38" s="172">
        <f t="shared" si="7"/>
        <v>0</v>
      </c>
      <c r="K38" s="164">
        <f t="shared" si="8"/>
        <v>0</v>
      </c>
    </row>
    <row r="39" spans="1:11" s="76" customFormat="1" ht="12" customHeight="1" x14ac:dyDescent="0.2">
      <c r="A39" s="165"/>
      <c r="B39" s="165"/>
      <c r="C39" s="166" t="s">
        <v>308</v>
      </c>
      <c r="D39" s="167"/>
      <c r="E39" s="193"/>
      <c r="F39" s="193"/>
      <c r="G39" s="169">
        <f t="shared" si="5"/>
        <v>0</v>
      </c>
      <c r="H39" s="170" t="e">
        <f t="shared" si="9"/>
        <v>#DIV/0!</v>
      </c>
      <c r="I39" s="171">
        <f t="shared" si="6"/>
        <v>0</v>
      </c>
      <c r="J39" s="172">
        <f t="shared" si="7"/>
        <v>0</v>
      </c>
      <c r="K39" s="164">
        <f t="shared" si="8"/>
        <v>0</v>
      </c>
    </row>
    <row r="40" spans="1:11" s="76" customFormat="1" ht="12" customHeight="1" x14ac:dyDescent="0.2">
      <c r="A40" s="165"/>
      <c r="B40" s="165"/>
      <c r="C40" s="166" t="s">
        <v>51</v>
      </c>
      <c r="D40" s="167"/>
      <c r="E40" s="193"/>
      <c r="F40" s="193"/>
      <c r="G40" s="169">
        <f t="shared" si="5"/>
        <v>0</v>
      </c>
      <c r="H40" s="170" t="e">
        <f t="shared" si="9"/>
        <v>#DIV/0!</v>
      </c>
      <c r="I40" s="171">
        <f t="shared" si="6"/>
        <v>0</v>
      </c>
      <c r="J40" s="172">
        <f t="shared" si="7"/>
        <v>0</v>
      </c>
      <c r="K40" s="164">
        <f t="shared" si="8"/>
        <v>0</v>
      </c>
    </row>
    <row r="41" spans="1:11" s="76" customFormat="1" ht="12" customHeight="1" x14ac:dyDescent="0.2">
      <c r="A41" s="165"/>
      <c r="B41" s="165"/>
      <c r="C41" s="166" t="s">
        <v>52</v>
      </c>
      <c r="D41" s="167"/>
      <c r="E41" s="194"/>
      <c r="F41" s="194"/>
      <c r="G41" s="169">
        <f t="shared" si="5"/>
        <v>0</v>
      </c>
      <c r="H41" s="170" t="e">
        <f t="shared" si="9"/>
        <v>#DIV/0!</v>
      </c>
      <c r="I41" s="171">
        <f t="shared" si="6"/>
        <v>0</v>
      </c>
      <c r="J41" s="172">
        <f t="shared" si="7"/>
        <v>0</v>
      </c>
      <c r="K41" s="164">
        <f t="shared" si="8"/>
        <v>0</v>
      </c>
    </row>
    <row r="42" spans="1:11" s="76" customFormat="1" ht="12" customHeight="1" x14ac:dyDescent="0.2">
      <c r="A42" s="165"/>
      <c r="B42" s="165"/>
      <c r="C42" s="166" t="s">
        <v>53</v>
      </c>
      <c r="D42" s="167"/>
      <c r="E42" s="194"/>
      <c r="F42" s="194"/>
      <c r="G42" s="169">
        <f t="shared" si="5"/>
        <v>0</v>
      </c>
      <c r="H42" s="170" t="e">
        <f t="shared" si="9"/>
        <v>#DIV/0!</v>
      </c>
      <c r="I42" s="171">
        <f t="shared" si="6"/>
        <v>0</v>
      </c>
      <c r="J42" s="172">
        <f t="shared" si="7"/>
        <v>0</v>
      </c>
      <c r="K42" s="164">
        <f t="shared" si="8"/>
        <v>0</v>
      </c>
    </row>
    <row r="43" spans="1:11" s="76" customFormat="1" ht="12" customHeight="1" x14ac:dyDescent="0.2">
      <c r="A43" s="173"/>
      <c r="B43" s="173"/>
      <c r="C43" s="453" t="s">
        <v>309</v>
      </c>
      <c r="D43" s="454"/>
      <c r="E43" s="455"/>
      <c r="F43" s="455"/>
      <c r="G43" s="176">
        <f t="shared" si="5"/>
        <v>0</v>
      </c>
      <c r="H43" s="170" t="e">
        <f t="shared" si="9"/>
        <v>#DIV/0!</v>
      </c>
      <c r="I43" s="171">
        <f t="shared" si="6"/>
        <v>0</v>
      </c>
      <c r="J43" s="172">
        <f t="shared" si="7"/>
        <v>0</v>
      </c>
      <c r="K43" s="177">
        <f t="shared" si="8"/>
        <v>0</v>
      </c>
    </row>
    <row r="44" spans="1:11" s="76" customFormat="1" ht="12" customHeight="1" x14ac:dyDescent="0.2">
      <c r="A44" s="433"/>
      <c r="B44" s="433"/>
      <c r="C44" s="174" t="s">
        <v>318</v>
      </c>
      <c r="D44" s="175"/>
      <c r="E44" s="195"/>
      <c r="F44" s="195"/>
      <c r="G44" s="176">
        <f>SUM(E44-F44)</f>
        <v>0</v>
      </c>
      <c r="H44" s="170" t="e">
        <f>E44/F44*100-100</f>
        <v>#DIV/0!</v>
      </c>
      <c r="I44" s="171">
        <f>E44/$E$64</f>
        <v>0</v>
      </c>
      <c r="J44" s="172">
        <f>F44/$F$64</f>
        <v>0</v>
      </c>
      <c r="K44" s="177">
        <f>SUM(I44-J44)</f>
        <v>0</v>
      </c>
    </row>
    <row r="45" spans="1:11" s="76" customFormat="1" ht="12" x14ac:dyDescent="0.2">
      <c r="A45" s="188"/>
      <c r="B45" s="188"/>
      <c r="C45" s="179" t="s">
        <v>25</v>
      </c>
      <c r="D45" s="180"/>
      <c r="E45" s="196">
        <f>SUM(E31:E44)</f>
        <v>836712</v>
      </c>
      <c r="F45" s="196">
        <f>SUM(F31:F44)</f>
        <v>724030</v>
      </c>
      <c r="G45" s="190">
        <f>SUM(E45-F45)</f>
        <v>112682</v>
      </c>
      <c r="H45" s="191">
        <f>E45/F45*100-100</f>
        <v>15.6</v>
      </c>
      <c r="I45" s="192">
        <f>SUM(I29:I44)</f>
        <v>0.2535</v>
      </c>
      <c r="J45" s="192">
        <f>SUM(J29:J44)</f>
        <v>0.23830000000000001</v>
      </c>
      <c r="K45" s="192">
        <f>SUM(K29:K44)</f>
        <v>1.52E-2</v>
      </c>
    </row>
    <row r="46" spans="1:11" s="27" customFormat="1" ht="12" x14ac:dyDescent="0.2">
      <c r="A46" s="337"/>
      <c r="B46" s="337" t="s">
        <v>54</v>
      </c>
      <c r="C46" s="338"/>
      <c r="D46" s="9"/>
      <c r="E46" s="111"/>
      <c r="F46" s="111"/>
      <c r="G46" s="327"/>
      <c r="H46" s="328"/>
      <c r="I46" s="329"/>
      <c r="J46" s="330"/>
      <c r="K46" s="331"/>
    </row>
    <row r="47" spans="1:11" s="76" customFormat="1" ht="12" customHeight="1" x14ac:dyDescent="0.2">
      <c r="A47" s="342"/>
      <c r="B47" s="342"/>
      <c r="C47" s="343" t="s">
        <v>45</v>
      </c>
      <c r="D47" s="344"/>
      <c r="E47" s="326"/>
      <c r="F47" s="326"/>
      <c r="G47" s="185">
        <f t="shared" ref="G47:G64" si="10">SUM(E47-F47)</f>
        <v>0</v>
      </c>
      <c r="H47" s="332" t="e">
        <f>E47/F47*100-100</f>
        <v>#DIV/0!</v>
      </c>
      <c r="I47" s="333">
        <f t="shared" ref="I47:I61" si="11">E47/$E$64</f>
        <v>0</v>
      </c>
      <c r="J47" s="334">
        <f t="shared" ref="J47:J61" si="12">F47/$F$64</f>
        <v>0</v>
      </c>
      <c r="K47" s="187">
        <f t="shared" ref="K47:K59" si="13">SUM(I47-J47)</f>
        <v>0</v>
      </c>
    </row>
    <row r="48" spans="1:11" s="76" customFormat="1" ht="12" customHeight="1" x14ac:dyDescent="0.2">
      <c r="A48" s="165"/>
      <c r="B48" s="165"/>
      <c r="C48" s="166" t="s">
        <v>46</v>
      </c>
      <c r="D48" s="167"/>
      <c r="E48" s="168"/>
      <c r="F48" s="168"/>
      <c r="G48" s="169">
        <f t="shared" si="10"/>
        <v>0</v>
      </c>
      <c r="H48" s="150" t="e">
        <f t="shared" ref="H48:H59" si="14">E48/F48*100-100</f>
        <v>#DIV/0!</v>
      </c>
      <c r="I48" s="171">
        <f t="shared" si="11"/>
        <v>0</v>
      </c>
      <c r="J48" s="172">
        <f t="shared" si="12"/>
        <v>0</v>
      </c>
      <c r="K48" s="164">
        <f t="shared" si="13"/>
        <v>0</v>
      </c>
    </row>
    <row r="49" spans="1:11" s="76" customFormat="1" ht="12" customHeight="1" x14ac:dyDescent="0.2">
      <c r="A49" s="165"/>
      <c r="B49" s="165"/>
      <c r="C49" s="166" t="s">
        <v>55</v>
      </c>
      <c r="D49" s="167"/>
      <c r="E49" s="193"/>
      <c r="F49" s="193"/>
      <c r="G49" s="169">
        <f t="shared" si="10"/>
        <v>0</v>
      </c>
      <c r="H49" s="150" t="e">
        <f t="shared" si="14"/>
        <v>#DIV/0!</v>
      </c>
      <c r="I49" s="171">
        <f t="shared" si="11"/>
        <v>0</v>
      </c>
      <c r="J49" s="172">
        <f t="shared" si="12"/>
        <v>0</v>
      </c>
      <c r="K49" s="164">
        <f t="shared" si="13"/>
        <v>0</v>
      </c>
    </row>
    <row r="50" spans="1:11" s="76" customFormat="1" ht="12" customHeight="1" x14ac:dyDescent="0.2">
      <c r="A50" s="165"/>
      <c r="B50" s="165"/>
      <c r="C50" s="166" t="s">
        <v>47</v>
      </c>
      <c r="D50" s="167"/>
      <c r="E50" s="193">
        <v>491569</v>
      </c>
      <c r="F50" s="193">
        <v>363692</v>
      </c>
      <c r="G50" s="169">
        <f t="shared" si="10"/>
        <v>127877</v>
      </c>
      <c r="H50" s="150">
        <f t="shared" si="14"/>
        <v>35.200000000000003</v>
      </c>
      <c r="I50" s="171">
        <f t="shared" si="11"/>
        <v>0.1489</v>
      </c>
      <c r="J50" s="172">
        <f t="shared" si="12"/>
        <v>0.1197</v>
      </c>
      <c r="K50" s="164">
        <f t="shared" si="13"/>
        <v>2.92E-2</v>
      </c>
    </row>
    <row r="51" spans="1:11" s="76" customFormat="1" ht="12" customHeight="1" x14ac:dyDescent="0.2">
      <c r="A51" s="165"/>
      <c r="B51" s="165"/>
      <c r="C51" s="166" t="s">
        <v>48</v>
      </c>
      <c r="D51" s="167"/>
      <c r="E51" s="193">
        <v>5544</v>
      </c>
      <c r="F51" s="193">
        <v>5808</v>
      </c>
      <c r="G51" s="169">
        <f t="shared" si="10"/>
        <v>-264</v>
      </c>
      <c r="H51" s="150">
        <f t="shared" si="14"/>
        <v>-4.5</v>
      </c>
      <c r="I51" s="171">
        <f t="shared" si="11"/>
        <v>1.6999999999999999E-3</v>
      </c>
      <c r="J51" s="172">
        <f t="shared" si="12"/>
        <v>1.9E-3</v>
      </c>
      <c r="K51" s="164">
        <f t="shared" si="13"/>
        <v>-2.0000000000000001E-4</v>
      </c>
    </row>
    <row r="52" spans="1:11" s="76" customFormat="1" ht="12" customHeight="1" x14ac:dyDescent="0.2">
      <c r="A52" s="165"/>
      <c r="B52" s="165"/>
      <c r="C52" s="166" t="s">
        <v>49</v>
      </c>
      <c r="D52" s="167"/>
      <c r="E52" s="193">
        <v>70347</v>
      </c>
      <c r="F52" s="193">
        <v>92324</v>
      </c>
      <c r="G52" s="169">
        <f t="shared" si="10"/>
        <v>-21977</v>
      </c>
      <c r="H52" s="150">
        <f t="shared" si="14"/>
        <v>-23.8</v>
      </c>
      <c r="I52" s="171">
        <f t="shared" si="11"/>
        <v>2.1299999999999999E-2</v>
      </c>
      <c r="J52" s="172">
        <f t="shared" si="12"/>
        <v>3.04E-2</v>
      </c>
      <c r="K52" s="164">
        <f t="shared" si="13"/>
        <v>-9.1000000000000004E-3</v>
      </c>
    </row>
    <row r="53" spans="1:11" s="76" customFormat="1" ht="12" customHeight="1" x14ac:dyDescent="0.2">
      <c r="A53" s="165"/>
      <c r="B53" s="165"/>
      <c r="C53" s="166" t="s">
        <v>50</v>
      </c>
      <c r="D53" s="167"/>
      <c r="E53" s="193"/>
      <c r="F53" s="193"/>
      <c r="G53" s="169">
        <f t="shared" si="10"/>
        <v>0</v>
      </c>
      <c r="H53" s="150" t="e">
        <f t="shared" si="14"/>
        <v>#DIV/0!</v>
      </c>
      <c r="I53" s="171">
        <f t="shared" si="11"/>
        <v>0</v>
      </c>
      <c r="J53" s="172">
        <f t="shared" si="12"/>
        <v>0</v>
      </c>
      <c r="K53" s="164">
        <f t="shared" si="13"/>
        <v>0</v>
      </c>
    </row>
    <row r="54" spans="1:11" s="76" customFormat="1" ht="12" customHeight="1" x14ac:dyDescent="0.2">
      <c r="A54" s="165"/>
      <c r="B54" s="165"/>
      <c r="C54" s="166" t="s">
        <v>307</v>
      </c>
      <c r="D54" s="167"/>
      <c r="E54" s="193"/>
      <c r="F54" s="193"/>
      <c r="G54" s="169">
        <f t="shared" si="10"/>
        <v>0</v>
      </c>
      <c r="H54" s="150" t="e">
        <f t="shared" si="14"/>
        <v>#DIV/0!</v>
      </c>
      <c r="I54" s="171">
        <f t="shared" si="11"/>
        <v>0</v>
      </c>
      <c r="J54" s="172">
        <f t="shared" si="12"/>
        <v>0</v>
      </c>
      <c r="K54" s="164">
        <f t="shared" si="13"/>
        <v>0</v>
      </c>
    </row>
    <row r="55" spans="1:11" s="76" customFormat="1" ht="12" customHeight="1" x14ac:dyDescent="0.2">
      <c r="A55" s="165"/>
      <c r="B55" s="165"/>
      <c r="C55" s="166" t="s">
        <v>308</v>
      </c>
      <c r="D55" s="167"/>
      <c r="E55" s="193"/>
      <c r="F55" s="193"/>
      <c r="G55" s="169">
        <f t="shared" si="10"/>
        <v>0</v>
      </c>
      <c r="H55" s="150" t="e">
        <f t="shared" si="14"/>
        <v>#DIV/0!</v>
      </c>
      <c r="I55" s="171">
        <f t="shared" si="11"/>
        <v>0</v>
      </c>
      <c r="J55" s="172">
        <f t="shared" si="12"/>
        <v>0</v>
      </c>
      <c r="K55" s="164">
        <f t="shared" si="13"/>
        <v>0</v>
      </c>
    </row>
    <row r="56" spans="1:11" s="76" customFormat="1" ht="19.5" customHeight="1" x14ac:dyDescent="0.2">
      <c r="A56" s="165"/>
      <c r="B56" s="165"/>
      <c r="C56" s="166" t="s">
        <v>310</v>
      </c>
      <c r="D56" s="167"/>
      <c r="E56" s="193">
        <v>84606</v>
      </c>
      <c r="F56" s="193">
        <v>94288</v>
      </c>
      <c r="G56" s="169">
        <f t="shared" si="10"/>
        <v>-9682</v>
      </c>
      <c r="H56" s="150">
        <f t="shared" si="14"/>
        <v>-10.3</v>
      </c>
      <c r="I56" s="171">
        <f t="shared" si="11"/>
        <v>2.5600000000000001E-2</v>
      </c>
      <c r="J56" s="172">
        <f t="shared" si="12"/>
        <v>3.1E-2</v>
      </c>
      <c r="K56" s="164">
        <f t="shared" si="13"/>
        <v>-5.4000000000000003E-3</v>
      </c>
    </row>
    <row r="57" spans="1:11" s="76" customFormat="1" ht="12" customHeight="1" x14ac:dyDescent="0.2">
      <c r="A57" s="165"/>
      <c r="B57" s="165"/>
      <c r="C57" s="166" t="s">
        <v>52</v>
      </c>
      <c r="D57" s="167"/>
      <c r="E57" s="193">
        <v>106228</v>
      </c>
      <c r="F57" s="193">
        <v>92726</v>
      </c>
      <c r="G57" s="169">
        <f t="shared" si="10"/>
        <v>13502</v>
      </c>
      <c r="H57" s="150">
        <f t="shared" si="14"/>
        <v>14.6</v>
      </c>
      <c r="I57" s="171">
        <f t="shared" si="11"/>
        <v>3.2199999999999999E-2</v>
      </c>
      <c r="J57" s="172">
        <f t="shared" si="12"/>
        <v>3.0499999999999999E-2</v>
      </c>
      <c r="K57" s="164">
        <f t="shared" si="13"/>
        <v>1.6999999999999999E-3</v>
      </c>
    </row>
    <row r="58" spans="1:11" s="76" customFormat="1" ht="12" customHeight="1" x14ac:dyDescent="0.2">
      <c r="A58" s="165"/>
      <c r="B58" s="165"/>
      <c r="C58" s="166" t="s">
        <v>53</v>
      </c>
      <c r="D58" s="167"/>
      <c r="E58" s="193"/>
      <c r="F58" s="193"/>
      <c r="G58" s="169">
        <f t="shared" si="10"/>
        <v>0</v>
      </c>
      <c r="H58" s="150" t="e">
        <f>E58/F58*100-100</f>
        <v>#DIV/0!</v>
      </c>
      <c r="I58" s="171">
        <f t="shared" si="11"/>
        <v>0</v>
      </c>
      <c r="J58" s="172">
        <f t="shared" si="12"/>
        <v>0</v>
      </c>
      <c r="K58" s="164">
        <f t="shared" si="13"/>
        <v>0</v>
      </c>
    </row>
    <row r="59" spans="1:11" s="76" customFormat="1" ht="12" customHeight="1" x14ac:dyDescent="0.2">
      <c r="A59" s="173"/>
      <c r="B59" s="173"/>
      <c r="C59" s="174" t="s">
        <v>309</v>
      </c>
      <c r="D59" s="175"/>
      <c r="E59" s="198"/>
      <c r="F59" s="198"/>
      <c r="G59" s="176">
        <f t="shared" si="10"/>
        <v>0</v>
      </c>
      <c r="H59" s="150" t="e">
        <f t="shared" si="14"/>
        <v>#DIV/0!</v>
      </c>
      <c r="I59" s="171">
        <f t="shared" si="11"/>
        <v>0</v>
      </c>
      <c r="J59" s="172">
        <f t="shared" si="12"/>
        <v>0</v>
      </c>
      <c r="K59" s="177">
        <f t="shared" si="13"/>
        <v>0</v>
      </c>
    </row>
    <row r="60" spans="1:11" s="76" customFormat="1" ht="12" customHeight="1" x14ac:dyDescent="0.2">
      <c r="A60" s="433"/>
      <c r="B60" s="433"/>
      <c r="C60" s="464" t="s">
        <v>311</v>
      </c>
      <c r="D60" s="465"/>
      <c r="E60" s="466">
        <v>104735</v>
      </c>
      <c r="F60" s="466">
        <v>104522</v>
      </c>
      <c r="G60" s="169">
        <f>SUM(E60-F60)</f>
        <v>213</v>
      </c>
      <c r="H60" s="150">
        <f>E60/F60*100-100</f>
        <v>0.2</v>
      </c>
      <c r="I60" s="171">
        <f>E60/$E$64</f>
        <v>3.1699999999999999E-2</v>
      </c>
      <c r="J60" s="172">
        <f t="shared" si="12"/>
        <v>3.44E-2</v>
      </c>
      <c r="K60" s="164">
        <f>SUM(I60-J60)</f>
        <v>-2.7000000000000001E-3</v>
      </c>
    </row>
    <row r="61" spans="1:11" s="76" customFormat="1" ht="12" customHeight="1" x14ac:dyDescent="0.2">
      <c r="A61" s="433"/>
      <c r="B61" s="433"/>
      <c r="C61" s="434" t="s">
        <v>312</v>
      </c>
      <c r="D61" s="435"/>
      <c r="E61" s="436"/>
      <c r="F61" s="436"/>
      <c r="G61" s="169">
        <f>SUM(E61-F61)</f>
        <v>0</v>
      </c>
      <c r="H61" s="150" t="e">
        <f>E61/F61*100-100</f>
        <v>#DIV/0!</v>
      </c>
      <c r="I61" s="171">
        <f t="shared" si="11"/>
        <v>0</v>
      </c>
      <c r="J61" s="172">
        <f t="shared" si="12"/>
        <v>0</v>
      </c>
      <c r="K61" s="164">
        <f>SUM(I61-J61)</f>
        <v>0</v>
      </c>
    </row>
    <row r="62" spans="1:11" s="27" customFormat="1" x14ac:dyDescent="0.2">
      <c r="A62" s="532" t="s">
        <v>26</v>
      </c>
      <c r="B62" s="533"/>
      <c r="C62" s="533"/>
      <c r="D62" s="24"/>
      <c r="E62" s="109">
        <f>SUM(E47:E61)</f>
        <v>863029</v>
      </c>
      <c r="F62" s="109">
        <f>SUM(F47:F61)</f>
        <v>753360</v>
      </c>
      <c r="G62" s="143">
        <f t="shared" si="10"/>
        <v>109669</v>
      </c>
      <c r="H62" s="147">
        <f>E62/F62*100-100</f>
        <v>14.6</v>
      </c>
      <c r="I62" s="148">
        <f>SUM(I46:I61)</f>
        <v>0.26140000000000002</v>
      </c>
      <c r="J62" s="148">
        <f>SUM(J46:J61)</f>
        <v>0.24790000000000001</v>
      </c>
      <c r="K62" s="148">
        <f>SUM(K46:K59)</f>
        <v>1.6199999999999999E-2</v>
      </c>
    </row>
    <row r="63" spans="1:11" s="27" customFormat="1" ht="15" customHeight="1" x14ac:dyDescent="0.2">
      <c r="A63" s="34" t="s">
        <v>56</v>
      </c>
      <c r="B63" s="34"/>
      <c r="C63" s="23"/>
      <c r="D63" s="24"/>
      <c r="E63" s="109">
        <f>E62+E45</f>
        <v>1699741</v>
      </c>
      <c r="F63" s="109">
        <f>F62+F45</f>
        <v>1477390</v>
      </c>
      <c r="G63" s="143">
        <f t="shared" si="10"/>
        <v>222351</v>
      </c>
      <c r="H63" s="147">
        <f>E63/F63*100-100</f>
        <v>15.1</v>
      </c>
      <c r="I63" s="148">
        <f>SUM(I62,I45)</f>
        <v>0.51490000000000002</v>
      </c>
      <c r="J63" s="148">
        <f>SUM(J62,J45)</f>
        <v>0.48620000000000002</v>
      </c>
      <c r="K63" s="148">
        <f>SUM(K62,K45)</f>
        <v>3.1399999999999997E-2</v>
      </c>
    </row>
    <row r="64" spans="1:11" s="27" customFormat="1" ht="14.25" customHeight="1" x14ac:dyDescent="0.2">
      <c r="A64" s="34" t="s">
        <v>30</v>
      </c>
      <c r="B64" s="34"/>
      <c r="C64" s="23"/>
      <c r="D64" s="24"/>
      <c r="E64" s="109">
        <f>E63+E28+E23</f>
        <v>3300592</v>
      </c>
      <c r="F64" s="109">
        <f>F63+F28+F23</f>
        <v>3038741</v>
      </c>
      <c r="G64" s="143">
        <f t="shared" si="10"/>
        <v>261851</v>
      </c>
      <c r="H64" s="147">
        <f>E64/F64*100-100</f>
        <v>8.6</v>
      </c>
      <c r="I64" s="148">
        <f>SUM(I63,I28,I23)</f>
        <v>1</v>
      </c>
      <c r="J64" s="148">
        <f>SUM(J63,J28,J23)</f>
        <v>1</v>
      </c>
      <c r="K64" s="148">
        <f>SUM(I64-J64)</f>
        <v>0</v>
      </c>
    </row>
    <row r="65" spans="3:6" s="3" customFormat="1" x14ac:dyDescent="0.2">
      <c r="C65" s="258"/>
      <c r="D65" s="258" t="str">
        <f>IF(E64&lt;&gt;Aktīvs!E71,"Aktīvs nesakrīt ar pasīvu par","")</f>
        <v/>
      </c>
      <c r="E65" s="259">
        <f>SUM(E64-Aktīvs!E71)</f>
        <v>0</v>
      </c>
      <c r="F65" s="259">
        <f>SUM(F64-Aktīvs!F71)</f>
        <v>0</v>
      </c>
    </row>
    <row r="66" spans="3:6" s="3" customFormat="1" x14ac:dyDescent="0.2"/>
    <row r="67" spans="3:6" s="3" customFormat="1" x14ac:dyDescent="0.2"/>
    <row r="68" spans="3:6" s="3" customFormat="1" x14ac:dyDescent="0.2"/>
    <row r="69" spans="3:6" s="3" customFormat="1" x14ac:dyDescent="0.2"/>
    <row r="70" spans="3:6" s="3" customFormat="1" x14ac:dyDescent="0.2"/>
    <row r="71" spans="3:6" s="3" customFormat="1" x14ac:dyDescent="0.2"/>
    <row r="72" spans="3:6" s="3" customFormat="1" x14ac:dyDescent="0.2"/>
    <row r="73" spans="3:6" s="3" customFormat="1" x14ac:dyDescent="0.2"/>
    <row r="74" spans="3:6" s="3" customFormat="1" x14ac:dyDescent="0.2"/>
    <row r="75" spans="3:6" s="3" customFormat="1" x14ac:dyDescent="0.2"/>
    <row r="76" spans="3:6" s="3" customFormat="1" x14ac:dyDescent="0.2"/>
    <row r="77" spans="3:6" s="3" customFormat="1" x14ac:dyDescent="0.2"/>
    <row r="78" spans="3:6" s="3" customFormat="1" x14ac:dyDescent="0.2"/>
    <row r="79" spans="3:6" s="3" customFormat="1" x14ac:dyDescent="0.2"/>
    <row r="80" spans="3:6"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sheetData>
  <mergeCells count="13">
    <mergeCell ref="C4:K4"/>
    <mergeCell ref="A62:C62"/>
    <mergeCell ref="A8:C8"/>
    <mergeCell ref="A6:C7"/>
    <mergeCell ref="D6:D7"/>
    <mergeCell ref="E6:E7"/>
    <mergeCell ref="F6:F7"/>
    <mergeCell ref="C2:F2"/>
    <mergeCell ref="C3:F3"/>
    <mergeCell ref="I2:K2"/>
    <mergeCell ref="G3:H3"/>
    <mergeCell ref="I3:K3"/>
    <mergeCell ref="G2:H2"/>
  </mergeCells>
  <phoneticPr fontId="0" type="noConversion"/>
  <conditionalFormatting sqref="I2:K2 E65:F65">
    <cfRule type="cellIs" dxfId="4" priority="1" stopIfTrue="1" operator="equal">
      <formula>0</formula>
    </cfRule>
  </conditionalFormatting>
  <conditionalFormatting sqref="I7:J7 E6:F7">
    <cfRule type="cellIs" dxfId="3" priority="2" stopIfTrue="1" operator="equal">
      <formula>0</formula>
    </cfRule>
  </conditionalFormatting>
  <printOptions horizontalCentered="1"/>
  <pageMargins left="0.37" right="0.19685039370078741" top="0.78" bottom="0.95" header="0.59055118110236227" footer="0.28999999999999998"/>
  <pageSetup paperSize="9" fitToWidth="3" fitToHeight="3" orientation="landscape" verticalDpi="300" r:id="rId1"/>
  <headerFooter alignWithMargins="0">
    <oddHeader xml:space="preserve">&amp;R
</oddHeader>
    <oddFooter>&amp;LIzpildīja__________________
                        &amp;8/Paraksts/&amp;CPārbaudīja________________
             &amp;8 /Paraksts/&amp;R&amp;D/&amp;T/&amp;P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67"/>
  <sheetViews>
    <sheetView zoomScale="90" zoomScaleNormal="90" zoomScaleSheetLayoutView="75" workbookViewId="0">
      <pane xSplit="12" ySplit="2" topLeftCell="P3" activePane="bottomRight" state="frozenSplit"/>
      <selection activeCell="A15" sqref="A15:B15"/>
      <selection pane="topRight" activeCell="A15" sqref="A15:B15"/>
      <selection pane="bottomLeft" activeCell="A15" sqref="A15:B15"/>
      <selection pane="bottomRight" activeCell="A2" sqref="A2:E2"/>
    </sheetView>
  </sheetViews>
  <sheetFormatPr defaultRowHeight="12.75" x14ac:dyDescent="0.2"/>
  <cols>
    <col min="1" max="1" width="41.1640625" customWidth="1"/>
    <col min="2" max="4" width="11.5" customWidth="1"/>
    <col min="5" max="5" width="15" customWidth="1"/>
    <col min="7" max="7" width="9" customWidth="1"/>
    <col min="8" max="8" width="8.83203125" customWidth="1"/>
    <col min="9" max="9" width="8.5" customWidth="1"/>
    <col min="10" max="10" width="13.6640625" customWidth="1"/>
    <col min="11" max="11" width="14" customWidth="1"/>
    <col min="12" max="12" width="12.1640625" customWidth="1"/>
    <col min="13" max="13" width="10.6640625" customWidth="1"/>
    <col min="14" max="15" width="14" customWidth="1"/>
  </cols>
  <sheetData>
    <row r="1" spans="1:17" ht="13.5" thickBot="1" x14ac:dyDescent="0.25"/>
    <row r="2" spans="1:17" s="154" customFormat="1" ht="15.75" x14ac:dyDescent="0.25">
      <c r="A2" s="507" t="str">
        <f>Inform.ievad.!C3</f>
        <v>SIA"Daugavpils autobusu parks"</v>
      </c>
      <c r="B2" s="490"/>
      <c r="C2" s="490"/>
      <c r="D2" s="490"/>
      <c r="E2" s="490"/>
      <c r="F2" s="496" t="str">
        <f>Inform.ievad.!C5</f>
        <v>2018. gads</v>
      </c>
      <c r="G2" s="497"/>
      <c r="H2" s="497"/>
      <c r="I2" s="526" t="str">
        <f>Inform.ievad.!C7</f>
        <v>Finanšu analīze</v>
      </c>
      <c r="J2" s="526"/>
      <c r="K2" s="527"/>
      <c r="L2" s="389"/>
    </row>
    <row r="3" spans="1:17" s="154" customFormat="1" ht="12" customHeight="1" x14ac:dyDescent="0.25">
      <c r="A3" s="491" t="s">
        <v>271</v>
      </c>
      <c r="B3" s="492"/>
      <c r="C3" s="492"/>
      <c r="D3" s="492"/>
      <c r="E3" s="492"/>
      <c r="F3" s="528" t="s">
        <v>171</v>
      </c>
      <c r="G3" s="528"/>
      <c r="H3" s="528"/>
      <c r="I3" s="528" t="s">
        <v>272</v>
      </c>
      <c r="J3" s="528"/>
      <c r="K3" s="529"/>
    </row>
    <row r="4" spans="1:17" s="154" customFormat="1" ht="15" customHeight="1" thickBot="1" x14ac:dyDescent="0.3">
      <c r="A4" s="537" t="s">
        <v>263</v>
      </c>
      <c r="B4" s="538"/>
      <c r="C4" s="538"/>
      <c r="D4" s="538"/>
      <c r="E4" s="538"/>
      <c r="F4" s="538"/>
      <c r="G4" s="538"/>
      <c r="H4" s="538"/>
      <c r="I4" s="538"/>
      <c r="J4" s="538"/>
      <c r="K4" s="539"/>
    </row>
    <row r="5" spans="1:17" s="240" customFormat="1" ht="21" customHeight="1" thickBot="1" x14ac:dyDescent="0.3">
      <c r="A5" s="321"/>
      <c r="B5" s="322"/>
      <c r="C5" s="243"/>
      <c r="D5" s="243"/>
      <c r="E5" s="239"/>
      <c r="F5" s="239"/>
      <c r="G5" s="239"/>
      <c r="H5" s="239"/>
      <c r="I5" s="239"/>
      <c r="J5" s="239"/>
      <c r="K5" s="239"/>
      <c r="N5" s="218"/>
      <c r="O5" s="154"/>
      <c r="P5" s="154"/>
    </row>
    <row r="6" spans="1:17" ht="30" customHeight="1" thickBot="1" x14ac:dyDescent="0.3">
      <c r="A6" s="231" t="s">
        <v>59</v>
      </c>
      <c r="B6" s="232" t="str">
        <f>Aktīvs!E6</f>
        <v>uz 31.12.2018.</v>
      </c>
      <c r="C6" s="232" t="str">
        <f>Aktīvs!F6</f>
        <v>uz 31.12.2017.</v>
      </c>
      <c r="D6" s="233" t="s">
        <v>153</v>
      </c>
      <c r="E6" s="261" t="s">
        <v>198</v>
      </c>
      <c r="F6" s="535" t="s">
        <v>100</v>
      </c>
      <c r="G6" s="535"/>
      <c r="H6" s="535"/>
      <c r="I6" s="535"/>
      <c r="J6" s="535"/>
      <c r="K6" s="536"/>
      <c r="N6" s="218"/>
      <c r="O6" s="154"/>
      <c r="P6" s="154"/>
      <c r="Q6" s="31"/>
    </row>
    <row r="7" spans="1:17" ht="16.5" customHeight="1" x14ac:dyDescent="0.25">
      <c r="A7" s="553" t="s">
        <v>60</v>
      </c>
      <c r="B7" s="554"/>
      <c r="C7" s="554"/>
      <c r="D7" s="554"/>
      <c r="E7" s="555"/>
      <c r="F7" s="558"/>
      <c r="G7" s="558"/>
      <c r="H7" s="558"/>
      <c r="I7" s="558"/>
      <c r="J7" s="558"/>
      <c r="K7" s="559"/>
      <c r="N7" s="218"/>
      <c r="O7" s="154"/>
      <c r="P7" s="154"/>
      <c r="Q7" s="45"/>
    </row>
    <row r="8" spans="1:17" s="5" customFormat="1" ht="27" customHeight="1" x14ac:dyDescent="0.25">
      <c r="A8" s="269" t="s">
        <v>199</v>
      </c>
      <c r="B8" s="58">
        <f>SUM(Aktīvs!E70/Pasīvs!E62)</f>
        <v>1.1100000000000001</v>
      </c>
      <c r="C8" s="58">
        <f>SUM(Aktīvs!F70/Pasīvs!F62)</f>
        <v>1.44</v>
      </c>
      <c r="D8" s="58">
        <f>SUM(B8-C8)</f>
        <v>-0.33</v>
      </c>
      <c r="E8" s="262" t="s">
        <v>201</v>
      </c>
      <c r="F8" s="540"/>
      <c r="G8" s="541"/>
      <c r="H8" s="541"/>
      <c r="I8" s="541"/>
      <c r="J8" s="541"/>
      <c r="K8" s="542"/>
      <c r="O8" s="154"/>
      <c r="P8" s="154"/>
      <c r="Q8" s="30"/>
    </row>
    <row r="9" spans="1:17" s="288" customFormat="1" ht="18.75" customHeight="1" x14ac:dyDescent="0.25">
      <c r="A9" s="270" t="s">
        <v>200</v>
      </c>
      <c r="B9" s="286">
        <f>SUM(Aktīvs!E70-Aktīvs!E49)/Pasīvs!E62</f>
        <v>1</v>
      </c>
      <c r="C9" s="286">
        <f>SUM(Aktīvs!F70-Aktīvs!F49)/Pasīvs!F62</f>
        <v>1.3</v>
      </c>
      <c r="D9" s="286">
        <f>SUM(B9-C9)</f>
        <v>-0.3</v>
      </c>
      <c r="E9" s="292" t="s">
        <v>202</v>
      </c>
      <c r="F9" s="543"/>
      <c r="G9" s="544"/>
      <c r="H9" s="544"/>
      <c r="I9" s="544"/>
      <c r="J9" s="544"/>
      <c r="K9" s="545"/>
      <c r="N9" s="218"/>
      <c r="O9" s="154"/>
      <c r="P9" s="154"/>
    </row>
    <row r="10" spans="1:17" s="288" customFormat="1" ht="21.75" customHeight="1" thickBot="1" x14ac:dyDescent="0.3">
      <c r="A10" s="416" t="s">
        <v>244</v>
      </c>
      <c r="B10" s="290">
        <f>SUM(Aktīvs!E69+Aktīvs!E67)/Pasīvs!E62</f>
        <v>0.82</v>
      </c>
      <c r="C10" s="290">
        <f>SUM(Aktīvs!F69+Aktīvs!F67)/Pasīvs!F62</f>
        <v>1.18</v>
      </c>
      <c r="D10" s="290">
        <f>SUM(B10-C10)</f>
        <v>-0.36</v>
      </c>
      <c r="E10" s="293" t="s">
        <v>203</v>
      </c>
      <c r="F10" s="546"/>
      <c r="G10" s="547"/>
      <c r="H10" s="547"/>
      <c r="I10" s="547"/>
      <c r="J10" s="547"/>
      <c r="K10" s="548"/>
      <c r="N10" s="218"/>
      <c r="O10" s="154"/>
      <c r="P10" s="154"/>
    </row>
    <row r="11" spans="1:17" ht="23.25" customHeight="1" thickBot="1" x14ac:dyDescent="0.3">
      <c r="A11" s="219"/>
      <c r="B11" s="220"/>
      <c r="C11" s="220"/>
      <c r="D11" s="220"/>
      <c r="E11" s="221"/>
      <c r="F11" s="298"/>
      <c r="G11" s="298"/>
      <c r="H11" s="298"/>
      <c r="I11" s="298"/>
      <c r="J11" s="298"/>
      <c r="K11" s="298"/>
      <c r="N11" s="218"/>
      <c r="O11" s="154"/>
      <c r="P11" s="154"/>
    </row>
    <row r="12" spans="1:17" ht="18.75" customHeight="1" x14ac:dyDescent="0.25">
      <c r="A12" s="553" t="s">
        <v>213</v>
      </c>
      <c r="B12" s="554"/>
      <c r="C12" s="554"/>
      <c r="D12" s="555"/>
      <c r="E12" s="228"/>
      <c r="F12" s="549"/>
      <c r="G12" s="549"/>
      <c r="H12" s="549"/>
      <c r="I12" s="549"/>
      <c r="J12" s="549"/>
      <c r="K12" s="550"/>
      <c r="O12" s="154"/>
      <c r="P12" s="154"/>
    </row>
    <row r="13" spans="1:17" s="288" customFormat="1" ht="23.25" customHeight="1" x14ac:dyDescent="0.25">
      <c r="A13" s="285" t="s">
        <v>214</v>
      </c>
      <c r="B13" s="286">
        <f>Pasīvs!E63/Pasīvs!E64</f>
        <v>0.51</v>
      </c>
      <c r="C13" s="286">
        <f>SUM(Pasīvs!F63/Pasīvs!F64)</f>
        <v>0.49</v>
      </c>
      <c r="D13" s="286">
        <f>SUM(B13-C13)</f>
        <v>0.02</v>
      </c>
      <c r="E13" s="287">
        <v>0.5</v>
      </c>
      <c r="F13" s="551"/>
      <c r="G13" s="551"/>
      <c r="H13" s="551"/>
      <c r="I13" s="551"/>
      <c r="J13" s="551"/>
      <c r="K13" s="552"/>
      <c r="O13" s="154"/>
      <c r="P13" s="154"/>
    </row>
    <row r="14" spans="1:17" s="288" customFormat="1" ht="33" customHeight="1" x14ac:dyDescent="0.25">
      <c r="A14" s="285" t="s">
        <v>216</v>
      </c>
      <c r="B14" s="286">
        <f>SUM(Pasīvs!E63/Pasīvs!E23)</f>
        <v>1.06</v>
      </c>
      <c r="C14" s="286">
        <f>SUM(Pasīvs!F63/Pasīvs!F23)</f>
        <v>0.95</v>
      </c>
      <c r="D14" s="286">
        <f>SUM(B14-C14)</f>
        <v>0.11</v>
      </c>
      <c r="E14" s="287" t="s">
        <v>87</v>
      </c>
      <c r="F14" s="551"/>
      <c r="G14" s="551"/>
      <c r="H14" s="551"/>
      <c r="I14" s="551"/>
      <c r="J14" s="551"/>
      <c r="K14" s="552"/>
      <c r="O14" s="154"/>
      <c r="P14" s="154"/>
    </row>
    <row r="15" spans="1:17" s="288" customFormat="1" ht="42.75" customHeight="1" thickBot="1" x14ac:dyDescent="0.3">
      <c r="A15" s="289" t="s">
        <v>215</v>
      </c>
      <c r="B15" s="290">
        <f>SUM(PZA!E20+PZA!E19)/PZA!E19</f>
        <v>4</v>
      </c>
      <c r="C15" s="290">
        <f>SUM(PZA!F20+PZA!F19)/PZA!F19</f>
        <v>16.329999999999998</v>
      </c>
      <c r="D15" s="290">
        <f>SUM(B15-C15)</f>
        <v>-12.33</v>
      </c>
      <c r="E15" s="291">
        <v>5</v>
      </c>
      <c r="F15" s="560"/>
      <c r="G15" s="560"/>
      <c r="H15" s="560"/>
      <c r="I15" s="560"/>
      <c r="J15" s="560"/>
      <c r="K15" s="561"/>
      <c r="O15" s="154"/>
      <c r="P15" s="154"/>
    </row>
    <row r="16" spans="1:17" ht="23.25" customHeight="1" thickBot="1" x14ac:dyDescent="0.25">
      <c r="A16" s="27"/>
      <c r="B16" s="223"/>
      <c r="C16" s="29"/>
      <c r="D16" s="29"/>
      <c r="E16" s="29"/>
      <c r="F16" s="298"/>
      <c r="G16" s="298"/>
      <c r="H16" s="298"/>
      <c r="I16" s="298"/>
      <c r="J16" s="298"/>
      <c r="K16" s="298"/>
    </row>
    <row r="17" spans="1:255" ht="24" customHeight="1" x14ac:dyDescent="0.2">
      <c r="A17" s="374" t="s">
        <v>62</v>
      </c>
      <c r="B17" s="228"/>
      <c r="C17" s="228"/>
      <c r="D17" s="228"/>
      <c r="E17" s="228"/>
      <c r="F17" s="549" t="s">
        <v>204</v>
      </c>
      <c r="G17" s="549"/>
      <c r="H17" s="549"/>
      <c r="I17" s="549"/>
      <c r="J17" s="549"/>
      <c r="K17" s="550"/>
    </row>
    <row r="18" spans="1:255" s="5" customFormat="1" ht="33" customHeight="1" x14ac:dyDescent="0.2">
      <c r="A18" s="270" t="s">
        <v>113</v>
      </c>
      <c r="B18" s="71">
        <f>SUM(Pasīvs!E62-Aktīvs!E70)</f>
        <v>-92531</v>
      </c>
      <c r="C18" s="71">
        <f>SUM(Pasīvs!F62-Aktīvs!F70)</f>
        <v>-329535</v>
      </c>
      <c r="D18" s="71">
        <f>SUM(B18-C18)</f>
        <v>237004</v>
      </c>
      <c r="E18" s="263" t="s">
        <v>88</v>
      </c>
      <c r="F18" s="551"/>
      <c r="G18" s="551"/>
      <c r="H18" s="551"/>
      <c r="I18" s="551"/>
      <c r="J18" s="551"/>
      <c r="K18" s="552"/>
    </row>
    <row r="19" spans="1:255" s="5" customFormat="1" ht="30" customHeight="1" x14ac:dyDescent="0.2">
      <c r="A19" s="270" t="s">
        <v>114</v>
      </c>
      <c r="B19" s="71">
        <f>SUM(Pasīvs!E23-Aktīvs!E40)</f>
        <v>-744181</v>
      </c>
      <c r="C19" s="71">
        <f>SUM(Pasīvs!F23-Aktīvs!F40)</f>
        <v>-394495</v>
      </c>
      <c r="D19" s="71">
        <f>SUM(B19-C19)</f>
        <v>-349686</v>
      </c>
      <c r="E19" s="263" t="s">
        <v>88</v>
      </c>
      <c r="F19" s="540"/>
      <c r="G19" s="541"/>
      <c r="H19" s="541"/>
      <c r="I19" s="541"/>
      <c r="J19" s="541"/>
      <c r="K19" s="542"/>
    </row>
    <row r="20" spans="1:255" s="5" customFormat="1" ht="43.5" customHeight="1" thickBot="1" x14ac:dyDescent="0.25">
      <c r="A20" s="271" t="s">
        <v>261</v>
      </c>
      <c r="B20" s="222">
        <f>SUM((Pasīvs!E23+Pasīvs!E45)-Aktīvs!E40)</f>
        <v>92531</v>
      </c>
      <c r="C20" s="222">
        <f>SUM((Pasīvs!F23+Pasīvs!F45)-Aktīvs!F40)</f>
        <v>329535</v>
      </c>
      <c r="D20" s="222">
        <f>SUM(B20-C20)</f>
        <v>-237004</v>
      </c>
      <c r="E20" s="264" t="s">
        <v>88</v>
      </c>
      <c r="F20" s="546"/>
      <c r="G20" s="547"/>
      <c r="H20" s="547"/>
      <c r="I20" s="547"/>
      <c r="J20" s="547"/>
      <c r="K20" s="548"/>
    </row>
    <row r="21" spans="1:255" ht="18" customHeight="1" thickBot="1" x14ac:dyDescent="0.25">
      <c r="A21" s="224"/>
      <c r="B21" s="220"/>
      <c r="C21" s="220"/>
      <c r="D21" s="220"/>
      <c r="E21" s="225"/>
      <c r="F21" s="298"/>
      <c r="G21" s="298"/>
      <c r="H21" s="298"/>
      <c r="I21" s="298"/>
      <c r="J21" s="298"/>
      <c r="K21" s="298"/>
    </row>
    <row r="22" spans="1:255" ht="21" customHeight="1" x14ac:dyDescent="0.2">
      <c r="A22" s="227" t="s">
        <v>205</v>
      </c>
      <c r="B22" s="228"/>
      <c r="C22" s="228"/>
      <c r="D22" s="228"/>
      <c r="E22" s="228"/>
      <c r="F22" s="549"/>
      <c r="G22" s="549"/>
      <c r="H22" s="549"/>
      <c r="I22" s="549"/>
      <c r="J22" s="549"/>
      <c r="K22" s="550"/>
    </row>
    <row r="23" spans="1:255" s="5" customFormat="1" ht="22.5" customHeight="1" x14ac:dyDescent="0.2">
      <c r="A23" s="272" t="s">
        <v>208</v>
      </c>
      <c r="B23" s="51">
        <f>PZA!E8/Aktīvs!E71</f>
        <v>0.61</v>
      </c>
      <c r="C23" s="51">
        <f>PZA!F8/Aktīvs!F71</f>
        <v>0.66</v>
      </c>
      <c r="D23" s="52">
        <f t="shared" ref="D23:D37" si="0">SUM(B23-C23)</f>
        <v>-0.05</v>
      </c>
      <c r="E23" s="265" t="s">
        <v>209</v>
      </c>
      <c r="F23" s="540"/>
      <c r="G23" s="541"/>
      <c r="H23" s="541"/>
      <c r="I23" s="541"/>
      <c r="J23" s="541"/>
      <c r="K23" s="542"/>
    </row>
    <row r="24" spans="1:255" s="5" customFormat="1" ht="23.25" customHeight="1" x14ac:dyDescent="0.2">
      <c r="A24" s="270" t="s">
        <v>105</v>
      </c>
      <c r="B24" s="57">
        <f>SUM(PZA!E8/Aktīvs!E40)</f>
        <v>0.85</v>
      </c>
      <c r="C24" s="57">
        <f>SUM(PZA!F8/Aktīvs!F40)</f>
        <v>1.02</v>
      </c>
      <c r="D24" s="58">
        <f>SUM(B24-C24)</f>
        <v>-0.17</v>
      </c>
      <c r="E24" s="284" t="s">
        <v>207</v>
      </c>
      <c r="F24" s="551"/>
      <c r="G24" s="551"/>
      <c r="H24" s="551"/>
      <c r="I24" s="551"/>
      <c r="J24" s="551"/>
      <c r="K24" s="552"/>
    </row>
    <row r="25" spans="1:255" s="5" customFormat="1" ht="16.5" customHeight="1" x14ac:dyDescent="0.2">
      <c r="A25" s="273" t="s">
        <v>210</v>
      </c>
      <c r="B25" s="51">
        <f>SUM(PZA!E9/Analīze!B27)</f>
        <v>44.42</v>
      </c>
      <c r="C25" s="51">
        <f>SUM(PZA!F9/Analīze!C27)</f>
        <v>84.75</v>
      </c>
      <c r="D25" s="52">
        <f t="shared" si="0"/>
        <v>-40.33</v>
      </c>
      <c r="E25" s="265">
        <v>7.3</v>
      </c>
      <c r="F25" s="540"/>
      <c r="G25" s="541"/>
      <c r="H25" s="541"/>
      <c r="I25" s="541"/>
      <c r="J25" s="541"/>
      <c r="K25" s="542"/>
    </row>
    <row r="26" spans="1:255" s="5" customFormat="1" x14ac:dyDescent="0.2">
      <c r="A26" s="274" t="s">
        <v>90</v>
      </c>
      <c r="B26" s="311">
        <f>365/B25</f>
        <v>8.2200000000000006</v>
      </c>
      <c r="C26" s="311">
        <f>365/C25</f>
        <v>4.3099999999999996</v>
      </c>
      <c r="D26" s="301">
        <f t="shared" si="0"/>
        <v>3.91</v>
      </c>
      <c r="E26" s="295" t="s">
        <v>85</v>
      </c>
      <c r="F26" s="543"/>
      <c r="G26" s="544"/>
      <c r="H26" s="544"/>
      <c r="I26" s="544"/>
      <c r="J26" s="544"/>
      <c r="K26" s="545"/>
    </row>
    <row r="27" spans="1:255" s="63" customFormat="1" ht="16.5" customHeight="1" x14ac:dyDescent="0.2">
      <c r="A27" s="275" t="s">
        <v>92</v>
      </c>
      <c r="B27" s="61">
        <f>SUM(Aktīvs!E49+Aktīvs!F49)/2</f>
        <v>97371</v>
      </c>
      <c r="C27" s="61">
        <f>SUM(Aktīvs!F49+Aktīvs!G49)/2</f>
        <v>47146</v>
      </c>
      <c r="D27" s="62">
        <f t="shared" si="0"/>
        <v>50225</v>
      </c>
      <c r="E27" s="267" t="s">
        <v>88</v>
      </c>
      <c r="F27" s="583"/>
      <c r="G27" s="584"/>
      <c r="H27" s="584"/>
      <c r="I27" s="584"/>
      <c r="J27" s="584"/>
      <c r="K27" s="58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255" s="5" customFormat="1" ht="31.5" customHeight="1" x14ac:dyDescent="0.2">
      <c r="A28" s="276" t="s">
        <v>211</v>
      </c>
      <c r="B28" s="51">
        <f>SUM(PZA!E8/Analīze!B30)</f>
        <v>26.27</v>
      </c>
      <c r="C28" s="51">
        <f>SUM(PZA!F8/Analīze!C30)</f>
        <v>38.93</v>
      </c>
      <c r="D28" s="52">
        <f t="shared" si="0"/>
        <v>-12.66</v>
      </c>
      <c r="E28" s="265">
        <v>18.25</v>
      </c>
      <c r="F28" s="540"/>
      <c r="G28" s="541"/>
      <c r="H28" s="541"/>
      <c r="I28" s="541"/>
      <c r="J28" s="541"/>
      <c r="K28" s="542"/>
    </row>
    <row r="29" spans="1:255" s="5" customFormat="1" ht="30.75" customHeight="1" x14ac:dyDescent="0.2">
      <c r="A29" s="308" t="s">
        <v>239</v>
      </c>
      <c r="B29" s="300">
        <f>((Aktīvs!E53+Aktīvs!E55+Aktīvs!E56)*365)/PZA!E8</f>
        <v>19</v>
      </c>
      <c r="C29" s="300">
        <f>((Aktīvs!F53+Aktīvs!F55+Aktīvs!F56)*365)/PZA!F8</f>
        <v>9</v>
      </c>
      <c r="D29" s="301">
        <f t="shared" si="0"/>
        <v>10</v>
      </c>
      <c r="E29" s="302" t="s">
        <v>240</v>
      </c>
      <c r="F29" s="543"/>
      <c r="G29" s="544"/>
      <c r="H29" s="544"/>
      <c r="I29" s="544"/>
      <c r="J29" s="544"/>
      <c r="K29" s="545"/>
    </row>
    <row r="30" spans="1:255" s="5" customFormat="1" ht="17.25" customHeight="1" x14ac:dyDescent="0.2">
      <c r="A30" s="277" t="s">
        <v>91</v>
      </c>
      <c r="B30" s="61">
        <f>SUM(Aktīvs!E61-Aktīvs!E59+Aktīvs!F61-Aktīvs!F59)*0.5</f>
        <v>76013</v>
      </c>
      <c r="C30" s="61">
        <f>SUM(Aktīvs!F61-Aktīvs!F59+Aktīvs!G61-Aktīvs!G59)*0.5</f>
        <v>51242</v>
      </c>
      <c r="D30" s="62">
        <f t="shared" si="0"/>
        <v>24771</v>
      </c>
      <c r="E30" s="268" t="s">
        <v>88</v>
      </c>
      <c r="F30" s="583"/>
      <c r="G30" s="584"/>
      <c r="H30" s="584"/>
      <c r="I30" s="584"/>
      <c r="J30" s="584"/>
      <c r="K30" s="585"/>
    </row>
    <row r="31" spans="1:255" s="64" customFormat="1" ht="18" customHeight="1" x14ac:dyDescent="0.2">
      <c r="A31" s="278" t="s">
        <v>243</v>
      </c>
      <c r="B31" s="309">
        <f>SUM(PZA!E9/Analīze!B33)</f>
        <v>5.35</v>
      </c>
      <c r="C31" s="309">
        <f>SUM(PZA!F9/Analīze!C33)</f>
        <v>9.26</v>
      </c>
      <c r="D31" s="310">
        <f t="shared" si="0"/>
        <v>-3.91</v>
      </c>
      <c r="E31" s="556" t="s">
        <v>212</v>
      </c>
      <c r="F31" s="540"/>
      <c r="G31" s="541"/>
      <c r="H31" s="541"/>
      <c r="I31" s="541"/>
      <c r="J31" s="541"/>
      <c r="K31" s="542"/>
    </row>
    <row r="32" spans="1:255" s="64" customFormat="1" x14ac:dyDescent="0.2">
      <c r="A32" s="279" t="s">
        <v>206</v>
      </c>
      <c r="B32" s="65">
        <f>365/B31</f>
        <v>68</v>
      </c>
      <c r="C32" s="65">
        <f>365/C31</f>
        <v>39</v>
      </c>
      <c r="D32" s="66">
        <f t="shared" si="0"/>
        <v>29</v>
      </c>
      <c r="E32" s="557"/>
      <c r="F32" s="543"/>
      <c r="G32" s="544"/>
      <c r="H32" s="544"/>
      <c r="I32" s="544"/>
      <c r="J32" s="544"/>
      <c r="K32" s="545"/>
    </row>
    <row r="33" spans="1:11" s="64" customFormat="1" ht="16.5" customHeight="1" thickBot="1" x14ac:dyDescent="0.25">
      <c r="A33" s="277" t="s">
        <v>96</v>
      </c>
      <c r="B33" s="61">
        <f>SUM(Pasīvs!E62+Pasīvs!F62)/2</f>
        <v>808195</v>
      </c>
      <c r="C33" s="61">
        <f>SUM(Pasīvs!F62+Pasīvs!G62)/2</f>
        <v>431515</v>
      </c>
      <c r="D33" s="62">
        <f t="shared" si="0"/>
        <v>376680</v>
      </c>
      <c r="E33" s="268" t="s">
        <v>88</v>
      </c>
      <c r="F33" s="583"/>
      <c r="G33" s="584"/>
      <c r="H33" s="584"/>
      <c r="I33" s="584"/>
      <c r="J33" s="584"/>
      <c r="K33" s="585"/>
    </row>
    <row r="34" spans="1:11" s="60" customFormat="1" ht="17.25" hidden="1" customHeight="1" x14ac:dyDescent="0.2">
      <c r="A34" s="229" t="s">
        <v>106</v>
      </c>
      <c r="B34" s="57" t="e">
        <f>SUM(PZA!E8/(Aktīvs!E44+Aktīvs!E46))</f>
        <v>#DIV/0!</v>
      </c>
      <c r="C34" s="57" t="e">
        <f>SUM(PZA!F8/(Aktīvs!F44+Aktīvs!F46))</f>
        <v>#DIV/0!</v>
      </c>
      <c r="D34" s="58" t="e">
        <f t="shared" si="0"/>
        <v>#DIV/0!</v>
      </c>
      <c r="E34" s="59"/>
      <c r="F34" s="551"/>
      <c r="G34" s="551"/>
      <c r="H34" s="551"/>
      <c r="I34" s="551"/>
      <c r="J34" s="551"/>
      <c r="K34" s="552"/>
    </row>
    <row r="35" spans="1:11" s="60" customFormat="1" ht="17.25" hidden="1" customHeight="1" x14ac:dyDescent="0.2">
      <c r="A35" s="229" t="s">
        <v>107</v>
      </c>
      <c r="B35" s="57" t="e">
        <f>SUM(PZA!E8/Aktīvs!E45)</f>
        <v>#DIV/0!</v>
      </c>
      <c r="C35" s="57" t="e">
        <f>SUM(PZA!F8/Aktīvs!F45)</f>
        <v>#DIV/0!</v>
      </c>
      <c r="D35" s="58" t="e">
        <f t="shared" si="0"/>
        <v>#DIV/0!</v>
      </c>
      <c r="E35" s="59"/>
      <c r="F35" s="551"/>
      <c r="G35" s="551"/>
      <c r="H35" s="551"/>
      <c r="I35" s="551"/>
      <c r="J35" s="551"/>
      <c r="K35" s="552"/>
    </row>
    <row r="36" spans="1:11" s="60" customFormat="1" ht="30" hidden="1" customHeight="1" x14ac:dyDescent="0.2">
      <c r="A36" s="230" t="s">
        <v>108</v>
      </c>
      <c r="B36" s="108">
        <f>SUM(Aktīvs!E53:E56)/Analīze!B37</f>
        <v>19</v>
      </c>
      <c r="C36" s="108">
        <f>SUM(Aktīvs!F53:F56)/Analīze!C37</f>
        <v>9</v>
      </c>
      <c r="D36" s="108">
        <f t="shared" si="0"/>
        <v>10</v>
      </c>
      <c r="E36" s="54"/>
      <c r="F36" s="540"/>
      <c r="G36" s="541"/>
      <c r="H36" s="541"/>
      <c r="I36" s="541"/>
      <c r="J36" s="541"/>
      <c r="K36" s="542"/>
    </row>
    <row r="37" spans="1:11" s="60" customFormat="1" ht="15.75" hidden="1" customHeight="1" thickBot="1" x14ac:dyDescent="0.25">
      <c r="A37" s="44" t="s">
        <v>98</v>
      </c>
      <c r="B37" s="67">
        <f>PZA!E8/365</f>
        <v>5471</v>
      </c>
      <c r="C37" s="67">
        <f>PZA!F8/365</f>
        <v>5465</v>
      </c>
      <c r="D37" s="67">
        <f t="shared" si="0"/>
        <v>6</v>
      </c>
      <c r="E37" s="68"/>
      <c r="F37" s="546"/>
      <c r="G37" s="547"/>
      <c r="H37" s="547"/>
      <c r="I37" s="547"/>
      <c r="J37" s="547"/>
      <c r="K37" s="548"/>
    </row>
    <row r="38" spans="1:11" ht="21.75" customHeight="1" thickBot="1" x14ac:dyDescent="0.25">
      <c r="A38" s="251"/>
      <c r="B38" s="252"/>
      <c r="C38" s="253"/>
      <c r="D38" s="253"/>
      <c r="E38" s="253"/>
      <c r="F38" s="299"/>
      <c r="G38" s="299"/>
      <c r="H38" s="299"/>
      <c r="I38" s="299"/>
      <c r="J38" s="299"/>
      <c r="K38" s="299"/>
    </row>
    <row r="39" spans="1:11" ht="19.5" customHeight="1" x14ac:dyDescent="0.2">
      <c r="A39" s="553" t="s">
        <v>217</v>
      </c>
      <c r="B39" s="554"/>
      <c r="C39" s="554"/>
      <c r="D39" s="554"/>
      <c r="E39" s="555"/>
      <c r="F39" s="549"/>
      <c r="G39" s="549"/>
      <c r="H39" s="549"/>
      <c r="I39" s="549"/>
      <c r="J39" s="549"/>
      <c r="K39" s="550"/>
    </row>
    <row r="40" spans="1:11" s="5" customFormat="1" ht="17.25" customHeight="1" x14ac:dyDescent="0.2">
      <c r="A40" s="272" t="s">
        <v>218</v>
      </c>
      <c r="B40" s="51"/>
      <c r="C40" s="54"/>
      <c r="D40" s="52"/>
      <c r="E40" s="266"/>
      <c r="F40" s="577"/>
      <c r="G40" s="578"/>
      <c r="H40" s="578"/>
      <c r="I40" s="578"/>
      <c r="J40" s="578"/>
      <c r="K40" s="579"/>
    </row>
    <row r="41" spans="1:11" s="5" customFormat="1" ht="17.25" customHeight="1" x14ac:dyDescent="0.2">
      <c r="A41" s="280" t="s">
        <v>220</v>
      </c>
      <c r="B41" s="234">
        <f>PZA!E10/PZA!E8*100</f>
        <v>-116.6</v>
      </c>
      <c r="C41" s="234">
        <f>PZA!F10/PZA!F8*100</f>
        <v>-100.29</v>
      </c>
      <c r="D41" s="55">
        <f>SUM(B41-C41)</f>
        <v>-16.309999999999999</v>
      </c>
      <c r="E41" s="294" t="s">
        <v>219</v>
      </c>
      <c r="F41" s="580"/>
      <c r="G41" s="581"/>
      <c r="H41" s="581"/>
      <c r="I41" s="581"/>
      <c r="J41" s="581"/>
      <c r="K41" s="582"/>
    </row>
    <row r="42" spans="1:11" s="5" customFormat="1" ht="18" customHeight="1" x14ac:dyDescent="0.2">
      <c r="A42" s="297" t="s">
        <v>222</v>
      </c>
      <c r="B42" s="234">
        <f>PZA!E26/PZA!E8*100</f>
        <v>1.98</v>
      </c>
      <c r="C42" s="234">
        <f>PZA!F26/PZA!F8*100</f>
        <v>11.68</v>
      </c>
      <c r="D42" s="55">
        <f>SUM(B42-C42)</f>
        <v>-9.6999999999999993</v>
      </c>
      <c r="E42" s="294" t="s">
        <v>221</v>
      </c>
      <c r="F42" s="562"/>
      <c r="G42" s="563"/>
      <c r="H42" s="563"/>
      <c r="I42" s="563"/>
      <c r="J42" s="563"/>
      <c r="K42" s="564"/>
    </row>
    <row r="43" spans="1:11" s="5" customFormat="1" ht="18" customHeight="1" x14ac:dyDescent="0.2">
      <c r="A43" s="272" t="s">
        <v>223</v>
      </c>
      <c r="B43" s="51">
        <f>SUM(PZA!E19:E20)/Analīze!B44*100</f>
        <v>1.66</v>
      </c>
      <c r="C43" s="51">
        <f>SUM(PZA!F19:F20)/Analīze!C44*100</f>
        <v>16.97</v>
      </c>
      <c r="D43" s="52">
        <f>SUM(B43-C43)</f>
        <v>-15.31</v>
      </c>
      <c r="E43" s="266" t="s">
        <v>224</v>
      </c>
      <c r="F43" s="540"/>
      <c r="G43" s="541"/>
      <c r="H43" s="541"/>
      <c r="I43" s="541"/>
      <c r="J43" s="541"/>
      <c r="K43" s="542"/>
    </row>
    <row r="44" spans="1:11" s="5" customFormat="1" ht="15" customHeight="1" x14ac:dyDescent="0.2">
      <c r="A44" s="277" t="s">
        <v>112</v>
      </c>
      <c r="B44" s="69">
        <f>SUM(Aktīvs!E71:F71)/2</f>
        <v>3169667</v>
      </c>
      <c r="C44" s="69">
        <f>SUM(Aktīvs!F71:F71)/2</f>
        <v>1519371</v>
      </c>
      <c r="D44" s="69">
        <f>SUM(B44-C44)</f>
        <v>1650296</v>
      </c>
      <c r="E44" s="294"/>
      <c r="F44" s="543"/>
      <c r="G44" s="544"/>
      <c r="H44" s="544"/>
      <c r="I44" s="544"/>
      <c r="J44" s="544"/>
      <c r="K44" s="545"/>
    </row>
    <row r="45" spans="1:11" s="5" customFormat="1" ht="16.5" customHeight="1" x14ac:dyDescent="0.2">
      <c r="A45" s="272" t="s">
        <v>225</v>
      </c>
      <c r="B45" s="51"/>
      <c r="C45" s="54"/>
      <c r="D45" s="52"/>
      <c r="E45" s="266"/>
      <c r="F45" s="565"/>
      <c r="G45" s="566"/>
      <c r="H45" s="566"/>
      <c r="I45" s="566"/>
      <c r="J45" s="566"/>
      <c r="K45" s="567"/>
    </row>
    <row r="46" spans="1:11" s="5" customFormat="1" x14ac:dyDescent="0.2">
      <c r="A46" s="323" t="s">
        <v>115</v>
      </c>
      <c r="B46" s="311"/>
      <c r="C46" s="311"/>
      <c r="D46" s="301">
        <f>SUM(B46-C46)</f>
        <v>0</v>
      </c>
      <c r="E46" s="295"/>
      <c r="F46" s="568"/>
      <c r="G46" s="569"/>
      <c r="H46" s="569"/>
      <c r="I46" s="569"/>
      <c r="J46" s="569"/>
      <c r="K46" s="570"/>
    </row>
    <row r="47" spans="1:11" s="5" customFormat="1" ht="15" customHeight="1" x14ac:dyDescent="0.2">
      <c r="A47" s="282" t="s">
        <v>110</v>
      </c>
      <c r="B47" s="70">
        <f>SUM(Pasīvs!E64:F64)/2</f>
        <v>3169667</v>
      </c>
      <c r="C47" s="70">
        <f>SUM(Pasīvs!F64:F64)/2</f>
        <v>1519371</v>
      </c>
      <c r="D47" s="69">
        <f>SUM(B47-C47)</f>
        <v>1650296</v>
      </c>
      <c r="E47" s="295"/>
      <c r="F47" s="571"/>
      <c r="G47" s="572"/>
      <c r="H47" s="572"/>
      <c r="I47" s="572"/>
      <c r="J47" s="572"/>
      <c r="K47" s="573"/>
    </row>
    <row r="48" spans="1:11" s="5" customFormat="1" ht="21.75" customHeight="1" thickBot="1" x14ac:dyDescent="0.25">
      <c r="A48" s="281" t="s">
        <v>103</v>
      </c>
      <c r="B48" s="51">
        <f>PZA!E26/Pasīvs!E23*100</f>
        <v>2.4700000000000002</v>
      </c>
      <c r="C48" s="51">
        <f>PZA!F26/Pasīvs!F23*100</f>
        <v>14.92</v>
      </c>
      <c r="D48" s="52">
        <f>SUM(B48-C48)</f>
        <v>-12.45</v>
      </c>
      <c r="E48" s="266">
        <v>15</v>
      </c>
      <c r="F48" s="568"/>
      <c r="G48" s="569"/>
      <c r="H48" s="569"/>
      <c r="I48" s="569"/>
      <c r="J48" s="569"/>
      <c r="K48" s="570"/>
    </row>
    <row r="49" spans="1:11" s="5" customFormat="1" ht="13.5" hidden="1" thickBot="1" x14ac:dyDescent="0.25">
      <c r="A49" s="283" t="s">
        <v>109</v>
      </c>
      <c r="B49" s="67">
        <f>SUM(Pasīvs!E23:F23)/2</f>
        <v>1581101</v>
      </c>
      <c r="C49" s="67">
        <f>SUM(Pasīvs!F23:F23)/2</f>
        <v>780676</v>
      </c>
      <c r="D49" s="226">
        <f>SUM(B49-C49)</f>
        <v>800425</v>
      </c>
      <c r="E49" s="296"/>
      <c r="F49" s="574"/>
      <c r="G49" s="575"/>
      <c r="H49" s="575"/>
      <c r="I49" s="575"/>
      <c r="J49" s="575"/>
      <c r="K49" s="576"/>
    </row>
    <row r="50" spans="1:11" x14ac:dyDescent="0.2">
      <c r="A50" s="305"/>
      <c r="B50" s="306"/>
      <c r="C50" s="306"/>
      <c r="D50" s="306"/>
      <c r="E50" s="306"/>
      <c r="F50" s="307"/>
      <c r="G50" s="307"/>
      <c r="H50" s="307"/>
      <c r="I50" s="307"/>
      <c r="J50" s="307"/>
      <c r="K50" s="307"/>
    </row>
    <row r="51" spans="1:11" x14ac:dyDescent="0.2">
      <c r="A51" s="5"/>
      <c r="F51" s="249"/>
      <c r="G51" s="249"/>
      <c r="H51" s="249"/>
      <c r="I51" s="249"/>
      <c r="J51" s="249"/>
      <c r="K51" s="249"/>
    </row>
    <row r="52" spans="1:11" x14ac:dyDescent="0.2">
      <c r="A52" s="5"/>
      <c r="F52" s="249"/>
      <c r="G52" s="249"/>
      <c r="H52" s="249"/>
      <c r="I52" s="249"/>
      <c r="J52" s="249"/>
      <c r="K52" s="249"/>
    </row>
    <row r="53" spans="1:11" x14ac:dyDescent="0.2">
      <c r="A53" s="5"/>
      <c r="F53" s="249"/>
      <c r="G53" s="249"/>
      <c r="H53" s="249"/>
      <c r="I53" s="249"/>
      <c r="J53" s="249"/>
      <c r="K53" s="249"/>
    </row>
    <row r="54" spans="1:11" x14ac:dyDescent="0.2">
      <c r="A54" s="5"/>
      <c r="F54" s="249"/>
      <c r="G54" s="249"/>
      <c r="H54" s="249"/>
      <c r="I54" s="249"/>
      <c r="J54" s="249"/>
      <c r="K54" s="249"/>
    </row>
    <row r="55" spans="1:11" x14ac:dyDescent="0.2">
      <c r="A55" s="5"/>
      <c r="F55" s="249"/>
      <c r="G55" s="249"/>
      <c r="H55" s="249"/>
      <c r="I55" s="249"/>
      <c r="J55" s="249"/>
      <c r="K55" s="249"/>
    </row>
    <row r="56" spans="1:11" x14ac:dyDescent="0.2">
      <c r="A56" s="5"/>
      <c r="F56" s="249"/>
      <c r="G56" s="249"/>
      <c r="H56" s="249"/>
      <c r="I56" s="249"/>
      <c r="J56" s="249"/>
      <c r="K56" s="249"/>
    </row>
    <row r="57" spans="1:11" x14ac:dyDescent="0.2">
      <c r="A57" s="5"/>
      <c r="F57" s="249"/>
      <c r="G57" s="249"/>
      <c r="H57" s="249"/>
      <c r="I57" s="249"/>
      <c r="J57" s="249"/>
      <c r="K57" s="249"/>
    </row>
    <row r="58" spans="1:11" x14ac:dyDescent="0.2">
      <c r="A58" s="5"/>
      <c r="F58" s="249"/>
      <c r="G58" s="249"/>
      <c r="H58" s="249"/>
      <c r="I58" s="249"/>
      <c r="J58" s="249"/>
      <c r="K58" s="249"/>
    </row>
    <row r="59" spans="1:11" x14ac:dyDescent="0.2">
      <c r="A59" s="5"/>
      <c r="F59" s="249"/>
      <c r="G59" s="249"/>
      <c r="H59" s="249"/>
      <c r="I59" s="249"/>
      <c r="J59" s="249"/>
      <c r="K59" s="249"/>
    </row>
    <row r="60" spans="1:11" x14ac:dyDescent="0.2">
      <c r="A60" s="5"/>
      <c r="F60" s="249"/>
      <c r="G60" s="249"/>
      <c r="H60" s="249"/>
      <c r="I60" s="249"/>
      <c r="J60" s="249"/>
      <c r="K60" s="249"/>
    </row>
    <row r="61" spans="1:11" x14ac:dyDescent="0.2">
      <c r="F61" s="249"/>
      <c r="G61" s="249"/>
      <c r="H61" s="249"/>
      <c r="I61" s="249"/>
      <c r="J61" s="249"/>
      <c r="K61" s="249"/>
    </row>
    <row r="62" spans="1:11" x14ac:dyDescent="0.2">
      <c r="F62" s="249"/>
      <c r="G62" s="249"/>
      <c r="H62" s="249"/>
      <c r="I62" s="249"/>
      <c r="J62" s="249"/>
      <c r="K62" s="249"/>
    </row>
    <row r="63" spans="1:11" x14ac:dyDescent="0.2">
      <c r="F63" s="249"/>
      <c r="G63" s="249"/>
      <c r="H63" s="249"/>
      <c r="I63" s="249"/>
      <c r="J63" s="249"/>
      <c r="K63" s="249"/>
    </row>
    <row r="64" spans="1:11" x14ac:dyDescent="0.2">
      <c r="F64" s="249"/>
      <c r="G64" s="249"/>
      <c r="H64" s="249"/>
      <c r="I64" s="249"/>
      <c r="J64" s="249"/>
      <c r="K64" s="249"/>
    </row>
    <row r="65" spans="6:11" x14ac:dyDescent="0.2">
      <c r="F65" s="249"/>
      <c r="G65" s="249"/>
      <c r="H65" s="249"/>
      <c r="I65" s="249"/>
      <c r="J65" s="249"/>
      <c r="K65" s="249"/>
    </row>
    <row r="66" spans="6:11" x14ac:dyDescent="0.2">
      <c r="F66" s="249"/>
      <c r="G66" s="249"/>
      <c r="H66" s="249"/>
      <c r="I66" s="249"/>
      <c r="J66" s="249"/>
      <c r="K66" s="249"/>
    </row>
    <row r="67" spans="6:11" x14ac:dyDescent="0.2">
      <c r="F67" s="249"/>
      <c r="G67" s="249"/>
      <c r="H67" s="249"/>
      <c r="I67" s="249"/>
      <c r="J67" s="249"/>
      <c r="K67" s="249"/>
    </row>
  </sheetData>
  <mergeCells count="36">
    <mergeCell ref="F45:K47"/>
    <mergeCell ref="F48:K49"/>
    <mergeCell ref="F40:K41"/>
    <mergeCell ref="F25:K27"/>
    <mergeCell ref="F28:K30"/>
    <mergeCell ref="F31:K33"/>
    <mergeCell ref="F36:K37"/>
    <mergeCell ref="F35:K35"/>
    <mergeCell ref="F34:K34"/>
    <mergeCell ref="A39:E39"/>
    <mergeCell ref="E31:E32"/>
    <mergeCell ref="F43:K44"/>
    <mergeCell ref="F7:K7"/>
    <mergeCell ref="F15:K15"/>
    <mergeCell ref="F12:K12"/>
    <mergeCell ref="F13:K13"/>
    <mergeCell ref="F24:K24"/>
    <mergeCell ref="F23:K23"/>
    <mergeCell ref="F42:K42"/>
    <mergeCell ref="F39:K39"/>
    <mergeCell ref="F8:K10"/>
    <mergeCell ref="F22:K22"/>
    <mergeCell ref="F17:K17"/>
    <mergeCell ref="F18:K18"/>
    <mergeCell ref="A7:E7"/>
    <mergeCell ref="A12:D12"/>
    <mergeCell ref="F19:K20"/>
    <mergeCell ref="F14:K14"/>
    <mergeCell ref="F6:K6"/>
    <mergeCell ref="A4:K4"/>
    <mergeCell ref="I2:K2"/>
    <mergeCell ref="F3:H3"/>
    <mergeCell ref="I3:K3"/>
    <mergeCell ref="A2:E2"/>
    <mergeCell ref="F2:H2"/>
    <mergeCell ref="A3:E3"/>
  </mergeCells>
  <phoneticPr fontId="0" type="noConversion"/>
  <conditionalFormatting sqref="I2:K3 G3:H3 F2:F3">
    <cfRule type="cellIs" dxfId="2" priority="1" stopIfTrue="1" operator="equal">
      <formula>0</formula>
    </cfRule>
  </conditionalFormatting>
  <printOptions horizontalCentered="1"/>
  <pageMargins left="0.34" right="0.34" top="0.79" bottom="0.8" header="0.64" footer="0.28999999999999998"/>
  <pageSetup paperSize="9" fitToWidth="3" fitToHeight="0" orientation="landscape" verticalDpi="300" r:id="rId1"/>
  <headerFooter alignWithMargins="0">
    <oddHeader xml:space="preserve">&amp;R
</oddHeader>
    <oddFooter>&amp;LIzpildīja__________________
                        &amp;8/Paraksts/&amp;CPārbaudīja________________
             &amp;8 /Paraksts/&amp;R&amp;D/&amp;T/&amp;P</oddFooter>
  </headerFooter>
  <rowBreaks count="1" manualBreakCount="1">
    <brk id="15" max="1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pane xSplit="14070" topLeftCell="P1"/>
      <selection activeCell="F3" sqref="F3:G3"/>
      <selection pane="topRight" activeCell="B38" sqref="B38:C38"/>
    </sheetView>
  </sheetViews>
  <sheetFormatPr defaultRowHeight="12.75" x14ac:dyDescent="0.2"/>
  <cols>
    <col min="1" max="1" width="5.6640625" customWidth="1"/>
    <col min="2" max="2" width="26.1640625" customWidth="1"/>
    <col min="3" max="3" width="9.5" customWidth="1"/>
    <col min="4" max="18" width="10.5" customWidth="1"/>
  </cols>
  <sheetData>
    <row r="1" spans="1:18" ht="19.5" x14ac:dyDescent="0.3">
      <c r="B1" s="375" t="s">
        <v>169</v>
      </c>
      <c r="C1" s="592" t="str">
        <f>Inform.ievad.!C3</f>
        <v>SIA"Daugavpils autobusu parks"</v>
      </c>
      <c r="D1" s="592"/>
      <c r="E1" s="592"/>
      <c r="F1" s="387" t="str">
        <f>Inform.ievad.!C5</f>
        <v>2018. gads</v>
      </c>
      <c r="G1" s="388" t="e">
        <f>Inform.ievad.!#REF!</f>
        <v>#REF!</v>
      </c>
      <c r="H1" s="592" t="str">
        <f>Inform.ievad.!C7</f>
        <v>Finanšu analīze</v>
      </c>
      <c r="I1" s="592"/>
      <c r="J1" s="592"/>
    </row>
    <row r="2" spans="1:18" ht="10.5" customHeight="1" x14ac:dyDescent="0.2">
      <c r="A2" s="202"/>
      <c r="B2" s="376"/>
      <c r="C2" s="589" t="s">
        <v>170</v>
      </c>
      <c r="D2" s="589"/>
      <c r="E2" s="589"/>
      <c r="F2" s="590" t="s">
        <v>171</v>
      </c>
      <c r="G2" s="591"/>
      <c r="H2" s="589" t="s">
        <v>172</v>
      </c>
      <c r="I2" s="589"/>
      <c r="J2" s="589"/>
    </row>
    <row r="3" spans="1:18" ht="19.5" customHeight="1" x14ac:dyDescent="0.25">
      <c r="A3" s="202"/>
      <c r="B3" s="355" t="e">
        <f>Inform.ievad.!#REF!</f>
        <v>#REF!</v>
      </c>
      <c r="C3" s="588" t="s">
        <v>190</v>
      </c>
      <c r="D3" s="588"/>
      <c r="E3" s="588"/>
      <c r="F3" s="595" t="s">
        <v>262</v>
      </c>
      <c r="G3" s="596"/>
      <c r="H3" s="594" t="e">
        <f>Inform.ievad.!#REF!</f>
        <v>#REF!</v>
      </c>
      <c r="I3" s="588"/>
      <c r="J3" s="588"/>
    </row>
    <row r="4" spans="1:18" ht="11.25" customHeight="1" x14ac:dyDescent="0.2">
      <c r="A4" s="202"/>
      <c r="B4" s="241" t="s">
        <v>173</v>
      </c>
      <c r="C4" s="589" t="s">
        <v>174</v>
      </c>
      <c r="D4" s="589"/>
      <c r="E4" s="589"/>
      <c r="F4" s="590" t="s">
        <v>175</v>
      </c>
      <c r="G4" s="591"/>
      <c r="H4" s="587" t="s">
        <v>178</v>
      </c>
      <c r="I4" s="587"/>
      <c r="J4" s="587"/>
    </row>
    <row r="5" spans="1:18" ht="18" customHeight="1" x14ac:dyDescent="0.25">
      <c r="A5" s="202"/>
      <c r="B5" s="355" t="e">
        <f>Inform.ievad.!#REF!</f>
        <v>#REF!</v>
      </c>
      <c r="C5" s="588" t="s">
        <v>189</v>
      </c>
      <c r="D5" s="588"/>
      <c r="E5" s="588"/>
      <c r="F5" s="377" t="str">
        <f>F3</f>
        <v>C 0/7.</v>
      </c>
      <c r="G5" s="378" t="s">
        <v>264</v>
      </c>
      <c r="H5" s="593">
        <v>37992</v>
      </c>
      <c r="I5" s="593"/>
      <c r="J5" s="593"/>
    </row>
    <row r="6" spans="1:18" ht="9.75" customHeight="1" x14ac:dyDescent="0.2">
      <c r="A6" s="202"/>
      <c r="B6" s="241" t="s">
        <v>179</v>
      </c>
      <c r="C6" s="589" t="s">
        <v>176</v>
      </c>
      <c r="D6" s="589"/>
      <c r="E6" s="589"/>
      <c r="F6" s="590"/>
      <c r="G6" s="591"/>
      <c r="H6" s="587" t="s">
        <v>177</v>
      </c>
      <c r="I6" s="587"/>
      <c r="J6" s="587"/>
    </row>
    <row r="7" spans="1:18" x14ac:dyDescent="0.2">
      <c r="N7" s="218"/>
    </row>
    <row r="8" spans="1:18" ht="26.25" customHeight="1" x14ac:dyDescent="0.2">
      <c r="A8" s="4" t="s">
        <v>64</v>
      </c>
      <c r="B8" s="203" t="s">
        <v>65</v>
      </c>
      <c r="C8" s="204"/>
      <c r="D8" s="312" t="s">
        <v>245</v>
      </c>
      <c r="E8" s="312" t="s">
        <v>246</v>
      </c>
      <c r="F8" s="312" t="s">
        <v>247</v>
      </c>
      <c r="G8" s="312" t="s">
        <v>248</v>
      </c>
      <c r="H8" s="312" t="s">
        <v>249</v>
      </c>
      <c r="I8" s="312" t="s">
        <v>250</v>
      </c>
      <c r="J8" s="312" t="s">
        <v>251</v>
      </c>
      <c r="K8" s="312" t="s">
        <v>252</v>
      </c>
      <c r="L8" s="312" t="s">
        <v>253</v>
      </c>
      <c r="M8" s="312" t="s">
        <v>254</v>
      </c>
      <c r="N8" s="312" t="s">
        <v>255</v>
      </c>
      <c r="O8" s="312" t="s">
        <v>256</v>
      </c>
      <c r="P8" s="312" t="s">
        <v>257</v>
      </c>
      <c r="Q8" s="106" t="s">
        <v>258</v>
      </c>
      <c r="R8" s="106" t="s">
        <v>259</v>
      </c>
    </row>
    <row r="9" spans="1:18" s="249" customFormat="1" x14ac:dyDescent="0.2">
      <c r="A9" s="313">
        <v>1</v>
      </c>
      <c r="B9" s="586" t="s">
        <v>66</v>
      </c>
      <c r="C9" s="486"/>
      <c r="D9" s="314"/>
      <c r="E9" s="314"/>
      <c r="F9" s="314"/>
      <c r="G9" s="314"/>
      <c r="H9" s="314"/>
      <c r="I9" s="314"/>
      <c r="J9" s="314"/>
      <c r="K9" s="314"/>
      <c r="L9" s="314"/>
      <c r="M9" s="314"/>
      <c r="N9" s="314"/>
      <c r="O9" s="314"/>
      <c r="P9" s="315">
        <f>SUM(D9:O9)</f>
        <v>0</v>
      </c>
      <c r="Q9" s="315">
        <v>4118568</v>
      </c>
      <c r="R9" s="315">
        <f>SUM(Q9-P9)</f>
        <v>4118568</v>
      </c>
    </row>
    <row r="10" spans="1:18" s="249" customFormat="1" x14ac:dyDescent="0.2">
      <c r="A10" s="313">
        <v>2</v>
      </c>
      <c r="B10" s="586" t="s">
        <v>67</v>
      </c>
      <c r="C10" s="486"/>
      <c r="D10" s="314"/>
      <c r="E10" s="314"/>
      <c r="F10" s="314"/>
      <c r="G10" s="314"/>
      <c r="H10" s="314"/>
      <c r="I10" s="314"/>
      <c r="J10" s="314"/>
      <c r="K10" s="314"/>
      <c r="L10" s="314"/>
      <c r="M10" s="314"/>
      <c r="N10" s="314"/>
      <c r="O10" s="314"/>
      <c r="P10" s="315">
        <f t="shared" ref="P10:P26" si="0">SUM(D10:O10)</f>
        <v>0</v>
      </c>
      <c r="Q10" s="315">
        <v>3379682</v>
      </c>
      <c r="R10" s="315">
        <f t="shared" ref="R10:R24" si="1">SUM(Q10-P10)</f>
        <v>3379682</v>
      </c>
    </row>
    <row r="11" spans="1:18" s="249" customFormat="1" ht="14.25" customHeight="1" x14ac:dyDescent="0.2">
      <c r="A11" s="313">
        <v>3</v>
      </c>
      <c r="B11" s="586" t="s">
        <v>68</v>
      </c>
      <c r="C11" s="486"/>
      <c r="D11" s="316">
        <f>SUM(D9-D10)</f>
        <v>0</v>
      </c>
      <c r="E11" s="316">
        <f t="shared" ref="E11:O11" si="2">SUM(E9-E10)</f>
        <v>0</v>
      </c>
      <c r="F11" s="316">
        <f t="shared" si="2"/>
        <v>0</v>
      </c>
      <c r="G11" s="316">
        <f t="shared" si="2"/>
        <v>0</v>
      </c>
      <c r="H11" s="316">
        <f t="shared" si="2"/>
        <v>0</v>
      </c>
      <c r="I11" s="316">
        <f t="shared" si="2"/>
        <v>0</v>
      </c>
      <c r="J11" s="316">
        <f t="shared" si="2"/>
        <v>0</v>
      </c>
      <c r="K11" s="316">
        <f t="shared" si="2"/>
        <v>0</v>
      </c>
      <c r="L11" s="316">
        <f t="shared" si="2"/>
        <v>0</v>
      </c>
      <c r="M11" s="316">
        <f t="shared" si="2"/>
        <v>0</v>
      </c>
      <c r="N11" s="316">
        <f t="shared" si="2"/>
        <v>0</v>
      </c>
      <c r="O11" s="316">
        <f t="shared" si="2"/>
        <v>0</v>
      </c>
      <c r="P11" s="316">
        <f t="shared" si="0"/>
        <v>0</v>
      </c>
      <c r="Q11" s="316">
        <f>SUM(Q9-Q10)</f>
        <v>738886</v>
      </c>
      <c r="R11" s="316">
        <f t="shared" si="1"/>
        <v>738886</v>
      </c>
    </row>
    <row r="12" spans="1:18" s="249" customFormat="1" x14ac:dyDescent="0.2">
      <c r="A12" s="313">
        <v>4</v>
      </c>
      <c r="B12" s="586" t="s">
        <v>69</v>
      </c>
      <c r="C12" s="486"/>
      <c r="D12" s="314"/>
      <c r="E12" s="314"/>
      <c r="F12" s="314"/>
      <c r="G12" s="314"/>
      <c r="H12" s="314"/>
      <c r="I12" s="314"/>
      <c r="J12" s="314"/>
      <c r="K12" s="314"/>
      <c r="L12" s="314"/>
      <c r="M12" s="314"/>
      <c r="N12" s="314"/>
      <c r="O12" s="314"/>
      <c r="P12" s="315">
        <f t="shared" si="0"/>
        <v>0</v>
      </c>
      <c r="Q12" s="315">
        <v>54541</v>
      </c>
      <c r="R12" s="315">
        <f t="shared" si="1"/>
        <v>54541</v>
      </c>
    </row>
    <row r="13" spans="1:18" s="249" customFormat="1" x14ac:dyDescent="0.2">
      <c r="A13" s="313">
        <v>5</v>
      </c>
      <c r="B13" s="586" t="s">
        <v>70</v>
      </c>
      <c r="C13" s="486"/>
      <c r="D13" s="314"/>
      <c r="E13" s="314"/>
      <c r="F13" s="314"/>
      <c r="G13" s="314"/>
      <c r="H13" s="314"/>
      <c r="I13" s="314"/>
      <c r="J13" s="314"/>
      <c r="K13" s="314"/>
      <c r="L13" s="314"/>
      <c r="M13" s="314"/>
      <c r="N13" s="314"/>
      <c r="O13" s="314"/>
      <c r="P13" s="315">
        <f t="shared" si="0"/>
        <v>0</v>
      </c>
      <c r="Q13" s="356">
        <v>398412</v>
      </c>
      <c r="R13" s="315">
        <f t="shared" si="1"/>
        <v>398412</v>
      </c>
    </row>
    <row r="14" spans="1:18" s="249" customFormat="1" ht="26.25" customHeight="1" x14ac:dyDescent="0.2">
      <c r="A14" s="313">
        <v>6</v>
      </c>
      <c r="B14" s="586" t="s">
        <v>71</v>
      </c>
      <c r="C14" s="486"/>
      <c r="D14" s="314"/>
      <c r="E14" s="314"/>
      <c r="F14" s="314"/>
      <c r="G14" s="314"/>
      <c r="H14" s="314"/>
      <c r="I14" s="314"/>
      <c r="J14" s="314"/>
      <c r="K14" s="314"/>
      <c r="L14" s="314"/>
      <c r="M14" s="314"/>
      <c r="N14" s="314"/>
      <c r="O14" s="314"/>
      <c r="P14" s="315">
        <f t="shared" si="0"/>
        <v>0</v>
      </c>
      <c r="Q14" s="315">
        <v>80028</v>
      </c>
      <c r="R14" s="315">
        <f t="shared" si="1"/>
        <v>80028</v>
      </c>
    </row>
    <row r="15" spans="1:18" s="249" customFormat="1" ht="26.25" customHeight="1" x14ac:dyDescent="0.2">
      <c r="A15" s="313">
        <v>7</v>
      </c>
      <c r="B15" s="586" t="s">
        <v>72</v>
      </c>
      <c r="C15" s="486"/>
      <c r="D15" s="314"/>
      <c r="E15" s="314"/>
      <c r="F15" s="314"/>
      <c r="G15" s="314"/>
      <c r="H15" s="314"/>
      <c r="I15" s="314"/>
      <c r="J15" s="314"/>
      <c r="K15" s="314"/>
      <c r="L15" s="314"/>
      <c r="M15" s="314"/>
      <c r="N15" s="314"/>
      <c r="O15" s="314"/>
      <c r="P15" s="315">
        <f t="shared" si="0"/>
        <v>0</v>
      </c>
      <c r="Q15" s="315">
        <v>64865</v>
      </c>
      <c r="R15" s="315">
        <f t="shared" si="1"/>
        <v>64865</v>
      </c>
    </row>
    <row r="16" spans="1:18" s="249" customFormat="1" ht="25.5" customHeight="1" x14ac:dyDescent="0.2">
      <c r="A16" s="313">
        <v>8</v>
      </c>
      <c r="B16" s="586" t="s">
        <v>73</v>
      </c>
      <c r="C16" s="486"/>
      <c r="D16" s="314"/>
      <c r="E16" s="314"/>
      <c r="F16" s="314"/>
      <c r="G16" s="314"/>
      <c r="H16" s="314"/>
      <c r="I16" s="314"/>
      <c r="J16" s="314"/>
      <c r="K16" s="314"/>
      <c r="L16" s="314"/>
      <c r="M16" s="314"/>
      <c r="N16" s="314"/>
      <c r="O16" s="314"/>
      <c r="P16" s="315">
        <f t="shared" si="0"/>
        <v>0</v>
      </c>
      <c r="Q16" s="315"/>
      <c r="R16" s="315">
        <f t="shared" si="1"/>
        <v>0</v>
      </c>
    </row>
    <row r="17" spans="1:18" s="249" customFormat="1" ht="39" customHeight="1" x14ac:dyDescent="0.2">
      <c r="A17" s="313">
        <v>9</v>
      </c>
      <c r="B17" s="586" t="s">
        <v>74</v>
      </c>
      <c r="C17" s="486"/>
      <c r="D17" s="314"/>
      <c r="E17" s="314"/>
      <c r="F17" s="314"/>
      <c r="G17" s="314"/>
      <c r="H17" s="314"/>
      <c r="I17" s="314"/>
      <c r="J17" s="314"/>
      <c r="K17" s="314"/>
      <c r="L17" s="314"/>
      <c r="M17" s="314"/>
      <c r="N17" s="314"/>
      <c r="O17" s="314"/>
      <c r="P17" s="315">
        <f t="shared" si="0"/>
        <v>0</v>
      </c>
      <c r="Q17" s="315"/>
      <c r="R17" s="315">
        <f t="shared" si="1"/>
        <v>0</v>
      </c>
    </row>
    <row r="18" spans="1:18" s="249" customFormat="1" ht="27" customHeight="1" x14ac:dyDescent="0.2">
      <c r="A18" s="313">
        <v>10</v>
      </c>
      <c r="B18" s="586" t="s">
        <v>75</v>
      </c>
      <c r="C18" s="486"/>
      <c r="D18" s="314"/>
      <c r="E18" s="314"/>
      <c r="F18" s="314"/>
      <c r="G18" s="314"/>
      <c r="H18" s="314"/>
      <c r="I18" s="314"/>
      <c r="J18" s="314"/>
      <c r="K18" s="314"/>
      <c r="L18" s="314"/>
      <c r="M18" s="314"/>
      <c r="N18" s="314"/>
      <c r="O18" s="314"/>
      <c r="P18" s="315">
        <f t="shared" si="0"/>
        <v>0</v>
      </c>
      <c r="Q18" s="315">
        <v>7</v>
      </c>
      <c r="R18" s="315">
        <f t="shared" si="1"/>
        <v>7</v>
      </c>
    </row>
    <row r="19" spans="1:18" s="249" customFormat="1" ht="30" customHeight="1" x14ac:dyDescent="0.2">
      <c r="A19" s="313">
        <v>11</v>
      </c>
      <c r="B19" s="586" t="s">
        <v>76</v>
      </c>
      <c r="C19" s="486"/>
      <c r="D19" s="314"/>
      <c r="E19" s="314"/>
      <c r="F19" s="314"/>
      <c r="G19" s="314"/>
      <c r="H19" s="314"/>
      <c r="I19" s="314"/>
      <c r="J19" s="314"/>
      <c r="K19" s="314"/>
      <c r="L19" s="314"/>
      <c r="M19" s="314"/>
      <c r="N19" s="314"/>
      <c r="O19" s="314"/>
      <c r="P19" s="315">
        <f t="shared" si="0"/>
        <v>0</v>
      </c>
      <c r="Q19" s="315"/>
      <c r="R19" s="315">
        <f t="shared" si="1"/>
        <v>0</v>
      </c>
    </row>
    <row r="20" spans="1:18" s="249" customFormat="1" ht="27.75" customHeight="1" x14ac:dyDescent="0.2">
      <c r="A20" s="313">
        <v>12</v>
      </c>
      <c r="B20" s="586" t="s">
        <v>77</v>
      </c>
      <c r="C20" s="486"/>
      <c r="D20" s="314"/>
      <c r="E20" s="314"/>
      <c r="F20" s="314"/>
      <c r="G20" s="314"/>
      <c r="H20" s="314"/>
      <c r="I20" s="314"/>
      <c r="J20" s="314"/>
      <c r="K20" s="314"/>
      <c r="L20" s="314"/>
      <c r="M20" s="314"/>
      <c r="N20" s="314"/>
      <c r="O20" s="314"/>
      <c r="P20" s="315">
        <f t="shared" si="0"/>
        <v>0</v>
      </c>
      <c r="Q20" s="315">
        <v>108746</v>
      </c>
      <c r="R20" s="315">
        <f t="shared" si="1"/>
        <v>108746</v>
      </c>
    </row>
    <row r="21" spans="1:18" s="249" customFormat="1" ht="27.75" customHeight="1" x14ac:dyDescent="0.2">
      <c r="A21" s="313">
        <v>13</v>
      </c>
      <c r="B21" s="586" t="s">
        <v>78</v>
      </c>
      <c r="C21" s="486"/>
      <c r="D21" s="317">
        <f t="shared" ref="D21:P21" si="3">SUM(D11-D12-D13+D14-D15+D16+D17+D18-D19-D20)</f>
        <v>0</v>
      </c>
      <c r="E21" s="317">
        <f t="shared" si="3"/>
        <v>0</v>
      </c>
      <c r="F21" s="317">
        <f t="shared" si="3"/>
        <v>0</v>
      </c>
      <c r="G21" s="317">
        <f t="shared" si="3"/>
        <v>0</v>
      </c>
      <c r="H21" s="317">
        <f t="shared" si="3"/>
        <v>0</v>
      </c>
      <c r="I21" s="317">
        <f t="shared" si="3"/>
        <v>0</v>
      </c>
      <c r="J21" s="317">
        <f t="shared" si="3"/>
        <v>0</v>
      </c>
      <c r="K21" s="317">
        <f t="shared" si="3"/>
        <v>0</v>
      </c>
      <c r="L21" s="317">
        <f t="shared" si="3"/>
        <v>0</v>
      </c>
      <c r="M21" s="317">
        <f t="shared" si="3"/>
        <v>0</v>
      </c>
      <c r="N21" s="317">
        <f t="shared" si="3"/>
        <v>0</v>
      </c>
      <c r="O21" s="317">
        <f t="shared" si="3"/>
        <v>0</v>
      </c>
      <c r="P21" s="317">
        <f t="shared" si="3"/>
        <v>0</v>
      </c>
      <c r="Q21" s="317">
        <f>SUM(Q11-Q12-Q13+Q14-Q15+Q16+Q17+Q18-Q19-Q20)</f>
        <v>192357</v>
      </c>
      <c r="R21" s="315">
        <f t="shared" si="1"/>
        <v>192357</v>
      </c>
    </row>
    <row r="22" spans="1:18" s="249" customFormat="1" x14ac:dyDescent="0.2">
      <c r="A22" s="313">
        <v>14</v>
      </c>
      <c r="B22" s="586" t="s">
        <v>79</v>
      </c>
      <c r="C22" s="486"/>
      <c r="D22" s="314"/>
      <c r="E22" s="314"/>
      <c r="F22" s="314"/>
      <c r="G22" s="314"/>
      <c r="H22" s="314"/>
      <c r="I22" s="314"/>
      <c r="J22" s="314"/>
      <c r="K22" s="314"/>
      <c r="L22" s="314"/>
      <c r="M22" s="314"/>
      <c r="N22" s="314"/>
      <c r="O22" s="314"/>
      <c r="P22" s="315">
        <f t="shared" si="0"/>
        <v>0</v>
      </c>
      <c r="Q22" s="315"/>
      <c r="R22" s="315">
        <f t="shared" si="1"/>
        <v>0</v>
      </c>
    </row>
    <row r="23" spans="1:18" s="249" customFormat="1" x14ac:dyDescent="0.2">
      <c r="A23" s="313">
        <v>15</v>
      </c>
      <c r="B23" s="586" t="s">
        <v>80</v>
      </c>
      <c r="C23" s="486"/>
      <c r="D23" s="314"/>
      <c r="E23" s="314"/>
      <c r="F23" s="314"/>
      <c r="G23" s="314"/>
      <c r="H23" s="314"/>
      <c r="I23" s="314"/>
      <c r="J23" s="314"/>
      <c r="K23" s="314"/>
      <c r="L23" s="314"/>
      <c r="M23" s="314"/>
      <c r="N23" s="314"/>
      <c r="O23" s="314"/>
      <c r="P23" s="315">
        <f t="shared" si="0"/>
        <v>0</v>
      </c>
      <c r="Q23" s="315"/>
      <c r="R23" s="315">
        <f t="shared" si="1"/>
        <v>0</v>
      </c>
    </row>
    <row r="24" spans="1:18" s="249" customFormat="1" ht="15.75" customHeight="1" x14ac:dyDescent="0.2">
      <c r="A24" s="313">
        <v>16</v>
      </c>
      <c r="B24" s="586" t="s">
        <v>81</v>
      </c>
      <c r="C24" s="486"/>
      <c r="D24" s="317">
        <f t="shared" ref="D24:P24" si="4">SUM(D21+D22-D23)</f>
        <v>0</v>
      </c>
      <c r="E24" s="317">
        <f t="shared" si="4"/>
        <v>0</v>
      </c>
      <c r="F24" s="317">
        <f t="shared" si="4"/>
        <v>0</v>
      </c>
      <c r="G24" s="317">
        <f t="shared" si="4"/>
        <v>0</v>
      </c>
      <c r="H24" s="317">
        <f t="shared" si="4"/>
        <v>0</v>
      </c>
      <c r="I24" s="317">
        <f t="shared" si="4"/>
        <v>0</v>
      </c>
      <c r="J24" s="317">
        <f t="shared" si="4"/>
        <v>0</v>
      </c>
      <c r="K24" s="317">
        <f t="shared" si="4"/>
        <v>0</v>
      </c>
      <c r="L24" s="317">
        <f t="shared" si="4"/>
        <v>0</v>
      </c>
      <c r="M24" s="317">
        <f t="shared" si="4"/>
        <v>0</v>
      </c>
      <c r="N24" s="317">
        <f t="shared" si="4"/>
        <v>0</v>
      </c>
      <c r="O24" s="317">
        <f t="shared" si="4"/>
        <v>0</v>
      </c>
      <c r="P24" s="317">
        <f t="shared" si="4"/>
        <v>0</v>
      </c>
      <c r="Q24" s="317">
        <f>SUM(Q21+Q22-Q23)</f>
        <v>192357</v>
      </c>
      <c r="R24" s="315">
        <f t="shared" si="1"/>
        <v>192357</v>
      </c>
    </row>
    <row r="25" spans="1:18" s="249" customFormat="1" ht="28.5" customHeight="1" x14ac:dyDescent="0.2">
      <c r="A25" s="313">
        <v>17</v>
      </c>
      <c r="B25" s="586" t="s">
        <v>82</v>
      </c>
      <c r="C25" s="486"/>
      <c r="D25" s="314"/>
      <c r="E25" s="314"/>
      <c r="F25" s="314"/>
      <c r="G25" s="314"/>
      <c r="H25" s="314"/>
      <c r="I25" s="314"/>
      <c r="J25" s="314"/>
      <c r="K25" s="314"/>
      <c r="L25" s="314"/>
      <c r="M25" s="314"/>
      <c r="N25" s="314"/>
      <c r="O25" s="314"/>
      <c r="P25" s="315">
        <f t="shared" si="0"/>
        <v>0</v>
      </c>
      <c r="Q25" s="315"/>
      <c r="R25" s="315">
        <v>3884</v>
      </c>
    </row>
    <row r="26" spans="1:18" s="249" customFormat="1" ht="14.25" customHeight="1" x14ac:dyDescent="0.2">
      <c r="A26" s="313">
        <v>18</v>
      </c>
      <c r="B26" s="586" t="s">
        <v>83</v>
      </c>
      <c r="C26" s="486"/>
      <c r="D26" s="314"/>
      <c r="E26" s="314"/>
      <c r="F26" s="314"/>
      <c r="G26" s="314"/>
      <c r="H26" s="314"/>
      <c r="I26" s="314"/>
      <c r="J26" s="314"/>
      <c r="K26" s="314"/>
      <c r="L26" s="314"/>
      <c r="M26" s="314"/>
      <c r="N26" s="314"/>
      <c r="O26" s="314"/>
      <c r="P26" s="315">
        <f t="shared" si="0"/>
        <v>0</v>
      </c>
      <c r="Q26" s="315">
        <v>14787</v>
      </c>
      <c r="R26" s="315">
        <v>7691</v>
      </c>
    </row>
    <row r="27" spans="1:18" s="249" customFormat="1" ht="24.75" customHeight="1" x14ac:dyDescent="0.2">
      <c r="A27" s="313">
        <v>19</v>
      </c>
      <c r="B27" s="586" t="s">
        <v>84</v>
      </c>
      <c r="C27" s="486"/>
      <c r="D27" s="317">
        <f t="shared" ref="D27:P27" si="5">SUM(D24-D25-D26)</f>
        <v>0</v>
      </c>
      <c r="E27" s="317">
        <f t="shared" si="5"/>
        <v>0</v>
      </c>
      <c r="F27" s="317">
        <f t="shared" si="5"/>
        <v>0</v>
      </c>
      <c r="G27" s="317">
        <f t="shared" si="5"/>
        <v>0</v>
      </c>
      <c r="H27" s="317">
        <f t="shared" si="5"/>
        <v>0</v>
      </c>
      <c r="I27" s="317">
        <f t="shared" si="5"/>
        <v>0</v>
      </c>
      <c r="J27" s="317">
        <f t="shared" si="5"/>
        <v>0</v>
      </c>
      <c r="K27" s="317">
        <f t="shared" si="5"/>
        <v>0</v>
      </c>
      <c r="L27" s="317">
        <f t="shared" si="5"/>
        <v>0</v>
      </c>
      <c r="M27" s="317">
        <f t="shared" si="5"/>
        <v>0</v>
      </c>
      <c r="N27" s="317">
        <f t="shared" si="5"/>
        <v>0</v>
      </c>
      <c r="O27" s="317">
        <f t="shared" si="5"/>
        <v>0</v>
      </c>
      <c r="P27" s="317">
        <f t="shared" si="5"/>
        <v>0</v>
      </c>
      <c r="Q27" s="317">
        <f>SUM(Q24-Q25-Q26)</f>
        <v>177570</v>
      </c>
      <c r="R27" s="317">
        <f>SUM(R24-R25-R26)</f>
        <v>180782</v>
      </c>
    </row>
    <row r="28" spans="1:18" x14ac:dyDescent="0.2">
      <c r="A28" s="28"/>
    </row>
    <row r="29" spans="1:18" x14ac:dyDescent="0.2">
      <c r="A29" s="28"/>
    </row>
    <row r="30" spans="1:18" ht="26.25" customHeight="1" x14ac:dyDescent="0.2">
      <c r="A30" s="4" t="s">
        <v>64</v>
      </c>
      <c r="B30" s="203" t="s">
        <v>65</v>
      </c>
      <c r="C30" s="204" t="s">
        <v>260</v>
      </c>
      <c r="D30" s="312" t="s">
        <v>245</v>
      </c>
      <c r="E30" s="312" t="s">
        <v>246</v>
      </c>
      <c r="F30" s="312" t="s">
        <v>247</v>
      </c>
      <c r="G30" s="312" t="s">
        <v>248</v>
      </c>
      <c r="H30" s="312" t="s">
        <v>249</v>
      </c>
      <c r="I30" s="312" t="s">
        <v>250</v>
      </c>
      <c r="J30" s="312" t="s">
        <v>251</v>
      </c>
      <c r="K30" s="312" t="s">
        <v>252</v>
      </c>
      <c r="L30" s="312" t="s">
        <v>253</v>
      </c>
      <c r="M30" s="312" t="s">
        <v>254</v>
      </c>
      <c r="N30" s="312" t="s">
        <v>255</v>
      </c>
      <c r="O30" s="312" t="s">
        <v>256</v>
      </c>
      <c r="P30" s="312" t="s">
        <v>257</v>
      </c>
      <c r="Q30" s="106"/>
      <c r="R30" s="106"/>
    </row>
    <row r="31" spans="1:18" s="249" customFormat="1" ht="18" customHeight="1" x14ac:dyDescent="0.2">
      <c r="A31" s="313">
        <v>1</v>
      </c>
      <c r="B31" s="586" t="s">
        <v>66</v>
      </c>
      <c r="C31" s="486"/>
      <c r="D31" s="318" t="s">
        <v>88</v>
      </c>
      <c r="E31" s="315" t="e">
        <f>E9/D9*100-100</f>
        <v>#DIV/0!</v>
      </c>
      <c r="F31" s="315" t="e">
        <f>F9/E9*100-100</f>
        <v>#DIV/0!</v>
      </c>
      <c r="G31" s="315" t="e">
        <f>G9/F9*100-100</f>
        <v>#DIV/0!</v>
      </c>
      <c r="H31" s="315" t="e">
        <f t="shared" ref="H31:M31" si="6">H9/G9*100-100</f>
        <v>#DIV/0!</v>
      </c>
      <c r="I31" s="315" t="e">
        <f t="shared" si="6"/>
        <v>#DIV/0!</v>
      </c>
      <c r="J31" s="315" t="e">
        <f t="shared" si="6"/>
        <v>#DIV/0!</v>
      </c>
      <c r="K31" s="315" t="e">
        <f t="shared" si="6"/>
        <v>#DIV/0!</v>
      </c>
      <c r="L31" s="315" t="e">
        <f t="shared" si="6"/>
        <v>#DIV/0!</v>
      </c>
      <c r="M31" s="315" t="e">
        <f t="shared" si="6"/>
        <v>#DIV/0!</v>
      </c>
      <c r="N31" s="315" t="e">
        <f>N9/M9*100-100</f>
        <v>#DIV/0!</v>
      </c>
      <c r="O31" s="315" t="e">
        <f>O9/N9*100-100</f>
        <v>#DIV/0!</v>
      </c>
      <c r="P31" s="315"/>
      <c r="Q31" s="315">
        <v>4118568</v>
      </c>
      <c r="R31" s="315">
        <f>SUM(Q31-P31)</f>
        <v>4118568</v>
      </c>
    </row>
    <row r="32" spans="1:18" s="249" customFormat="1" ht="17.25" customHeight="1" x14ac:dyDescent="0.2">
      <c r="A32" s="313">
        <v>2</v>
      </c>
      <c r="B32" s="586" t="s">
        <v>67</v>
      </c>
      <c r="C32" s="486"/>
      <c r="D32" s="318" t="s">
        <v>88</v>
      </c>
      <c r="E32" s="315" t="e">
        <f>E10/D10*100-100</f>
        <v>#DIV/0!</v>
      </c>
      <c r="F32" s="315" t="e">
        <f t="shared" ref="F32:O32" si="7">F10/E10*100-100</f>
        <v>#DIV/0!</v>
      </c>
      <c r="G32" s="315" t="e">
        <f t="shared" si="7"/>
        <v>#DIV/0!</v>
      </c>
      <c r="H32" s="315" t="e">
        <f t="shared" si="7"/>
        <v>#DIV/0!</v>
      </c>
      <c r="I32" s="315" t="e">
        <f t="shared" si="7"/>
        <v>#DIV/0!</v>
      </c>
      <c r="J32" s="315" t="e">
        <f t="shared" si="7"/>
        <v>#DIV/0!</v>
      </c>
      <c r="K32" s="315" t="e">
        <f>K10/J10*100-100</f>
        <v>#DIV/0!</v>
      </c>
      <c r="L32" s="315" t="e">
        <f t="shared" si="7"/>
        <v>#DIV/0!</v>
      </c>
      <c r="M32" s="315" t="e">
        <f t="shared" si="7"/>
        <v>#DIV/0!</v>
      </c>
      <c r="N32" s="315" t="e">
        <f>N10/M10*100-100</f>
        <v>#DIV/0!</v>
      </c>
      <c r="O32" s="315" t="e">
        <f t="shared" si="7"/>
        <v>#DIV/0!</v>
      </c>
      <c r="P32" s="315"/>
      <c r="Q32" s="315">
        <v>3379682</v>
      </c>
      <c r="R32" s="315">
        <f t="shared" ref="R32:R46" si="8">SUM(Q32-P32)</f>
        <v>3379682</v>
      </c>
    </row>
    <row r="33" spans="1:18" s="249" customFormat="1" ht="26.25" customHeight="1" x14ac:dyDescent="0.2">
      <c r="A33" s="313">
        <v>3</v>
      </c>
      <c r="B33" s="586" t="s">
        <v>68</v>
      </c>
      <c r="C33" s="486"/>
      <c r="D33" s="318" t="s">
        <v>88</v>
      </c>
      <c r="E33" s="316" t="e">
        <f t="shared" ref="E33:O34" si="9">SUM(E31-E32)</f>
        <v>#DIV/0!</v>
      </c>
      <c r="F33" s="316" t="e">
        <f t="shared" si="9"/>
        <v>#DIV/0!</v>
      </c>
      <c r="G33" s="316" t="e">
        <f t="shared" si="9"/>
        <v>#DIV/0!</v>
      </c>
      <c r="H33" s="316" t="e">
        <f t="shared" si="9"/>
        <v>#DIV/0!</v>
      </c>
      <c r="I33" s="316" t="e">
        <f t="shared" si="9"/>
        <v>#DIV/0!</v>
      </c>
      <c r="J33" s="316" t="e">
        <f t="shared" si="9"/>
        <v>#DIV/0!</v>
      </c>
      <c r="K33" s="316" t="e">
        <f t="shared" si="9"/>
        <v>#DIV/0!</v>
      </c>
      <c r="L33" s="316" t="e">
        <f t="shared" si="9"/>
        <v>#DIV/0!</v>
      </c>
      <c r="M33" s="316" t="e">
        <f t="shared" si="9"/>
        <v>#DIV/0!</v>
      </c>
      <c r="N33" s="316" t="e">
        <f t="shared" si="9"/>
        <v>#DIV/0!</v>
      </c>
      <c r="O33" s="316" t="e">
        <f t="shared" si="9"/>
        <v>#DIV/0!</v>
      </c>
      <c r="P33" s="316"/>
      <c r="Q33" s="316">
        <f>SUM(Q31-Q32)</f>
        <v>738886</v>
      </c>
      <c r="R33" s="316">
        <f t="shared" si="8"/>
        <v>738886</v>
      </c>
    </row>
    <row r="34" spans="1:18" s="249" customFormat="1" ht="21.75" customHeight="1" x14ac:dyDescent="0.2">
      <c r="A34" s="313">
        <v>4</v>
      </c>
      <c r="B34" s="586" t="s">
        <v>69</v>
      </c>
      <c r="C34" s="486"/>
      <c r="D34" s="318" t="s">
        <v>88</v>
      </c>
      <c r="E34" s="319" t="e">
        <f t="shared" si="9"/>
        <v>#DIV/0!</v>
      </c>
      <c r="F34" s="319" t="e">
        <f t="shared" si="9"/>
        <v>#DIV/0!</v>
      </c>
      <c r="G34" s="319" t="e">
        <f t="shared" si="9"/>
        <v>#DIV/0!</v>
      </c>
      <c r="H34" s="319" t="e">
        <f t="shared" si="9"/>
        <v>#DIV/0!</v>
      </c>
      <c r="I34" s="319" t="e">
        <f t="shared" si="9"/>
        <v>#DIV/0!</v>
      </c>
      <c r="J34" s="319" t="e">
        <f t="shared" si="9"/>
        <v>#DIV/0!</v>
      </c>
      <c r="K34" s="319" t="e">
        <f t="shared" si="9"/>
        <v>#DIV/0!</v>
      </c>
      <c r="L34" s="319" t="e">
        <f t="shared" si="9"/>
        <v>#DIV/0!</v>
      </c>
      <c r="M34" s="319" t="e">
        <f t="shared" si="9"/>
        <v>#DIV/0!</v>
      </c>
      <c r="N34" s="319" t="e">
        <f t="shared" si="9"/>
        <v>#DIV/0!</v>
      </c>
      <c r="O34" s="319" t="e">
        <f t="shared" si="9"/>
        <v>#DIV/0!</v>
      </c>
      <c r="P34" s="315"/>
      <c r="Q34" s="315">
        <v>54541</v>
      </c>
      <c r="R34" s="315">
        <f t="shared" si="8"/>
        <v>54541</v>
      </c>
    </row>
    <row r="35" spans="1:18" s="249" customFormat="1" ht="21.75" customHeight="1" x14ac:dyDescent="0.2">
      <c r="A35" s="313">
        <v>5</v>
      </c>
      <c r="B35" s="586" t="s">
        <v>70</v>
      </c>
      <c r="C35" s="486"/>
      <c r="D35" s="318" t="s">
        <v>88</v>
      </c>
      <c r="E35" s="315" t="e">
        <f>E13/D13*100-100</f>
        <v>#DIV/0!</v>
      </c>
      <c r="F35" s="315" t="e">
        <f t="shared" ref="F35:O35" si="10">F13/E13*100-100</f>
        <v>#DIV/0!</v>
      </c>
      <c r="G35" s="315" t="e">
        <f t="shared" si="10"/>
        <v>#DIV/0!</v>
      </c>
      <c r="H35" s="315" t="e">
        <f t="shared" si="10"/>
        <v>#DIV/0!</v>
      </c>
      <c r="I35" s="315" t="e">
        <f t="shared" si="10"/>
        <v>#DIV/0!</v>
      </c>
      <c r="J35" s="315" t="e">
        <f t="shared" si="10"/>
        <v>#DIV/0!</v>
      </c>
      <c r="K35" s="315" t="e">
        <f t="shared" si="10"/>
        <v>#DIV/0!</v>
      </c>
      <c r="L35" s="315" t="e">
        <f t="shared" si="10"/>
        <v>#DIV/0!</v>
      </c>
      <c r="M35" s="315" t="e">
        <f t="shared" si="10"/>
        <v>#DIV/0!</v>
      </c>
      <c r="N35" s="315" t="e">
        <f>N13/M13*100-100</f>
        <v>#DIV/0!</v>
      </c>
      <c r="O35" s="315" t="e">
        <f t="shared" si="10"/>
        <v>#DIV/0!</v>
      </c>
      <c r="P35" s="315"/>
      <c r="Q35" s="356">
        <v>398412</v>
      </c>
      <c r="R35" s="315">
        <f t="shared" si="8"/>
        <v>398412</v>
      </c>
    </row>
    <row r="36" spans="1:18" s="249" customFormat="1" ht="26.25" customHeight="1" x14ac:dyDescent="0.2">
      <c r="A36" s="313">
        <v>6</v>
      </c>
      <c r="B36" s="586" t="s">
        <v>71</v>
      </c>
      <c r="C36" s="486"/>
      <c r="D36" s="318" t="s">
        <v>88</v>
      </c>
      <c r="E36" s="315" t="e">
        <f t="shared" ref="E36:O48" si="11">E14/D14*100-100</f>
        <v>#DIV/0!</v>
      </c>
      <c r="F36" s="315" t="e">
        <f t="shared" si="11"/>
        <v>#DIV/0!</v>
      </c>
      <c r="G36" s="315" t="e">
        <f t="shared" si="11"/>
        <v>#DIV/0!</v>
      </c>
      <c r="H36" s="315" t="e">
        <f t="shared" si="11"/>
        <v>#DIV/0!</v>
      </c>
      <c r="I36" s="315" t="e">
        <f t="shared" si="11"/>
        <v>#DIV/0!</v>
      </c>
      <c r="J36" s="315" t="e">
        <f t="shared" si="11"/>
        <v>#DIV/0!</v>
      </c>
      <c r="K36" s="315" t="e">
        <f t="shared" si="11"/>
        <v>#DIV/0!</v>
      </c>
      <c r="L36" s="315" t="e">
        <f t="shared" si="11"/>
        <v>#DIV/0!</v>
      </c>
      <c r="M36" s="315" t="e">
        <f t="shared" si="11"/>
        <v>#DIV/0!</v>
      </c>
      <c r="N36" s="315" t="e">
        <f t="shared" si="11"/>
        <v>#DIV/0!</v>
      </c>
      <c r="O36" s="315" t="e">
        <f t="shared" si="11"/>
        <v>#DIV/0!</v>
      </c>
      <c r="P36" s="315"/>
      <c r="Q36" s="315">
        <v>80028</v>
      </c>
      <c r="R36" s="315">
        <f t="shared" si="8"/>
        <v>80028</v>
      </c>
    </row>
    <row r="37" spans="1:18" s="249" customFormat="1" ht="26.25" customHeight="1" x14ac:dyDescent="0.2">
      <c r="A37" s="313">
        <v>7</v>
      </c>
      <c r="B37" s="586" t="s">
        <v>72</v>
      </c>
      <c r="C37" s="486"/>
      <c r="D37" s="318" t="s">
        <v>88</v>
      </c>
      <c r="E37" s="315" t="e">
        <f t="shared" si="11"/>
        <v>#DIV/0!</v>
      </c>
      <c r="F37" s="315" t="e">
        <f t="shared" si="11"/>
        <v>#DIV/0!</v>
      </c>
      <c r="G37" s="315" t="e">
        <f t="shared" si="11"/>
        <v>#DIV/0!</v>
      </c>
      <c r="H37" s="315" t="e">
        <f t="shared" si="11"/>
        <v>#DIV/0!</v>
      </c>
      <c r="I37" s="315" t="e">
        <f t="shared" si="11"/>
        <v>#DIV/0!</v>
      </c>
      <c r="J37" s="315" t="e">
        <f t="shared" si="11"/>
        <v>#DIV/0!</v>
      </c>
      <c r="K37" s="315" t="e">
        <f t="shared" si="11"/>
        <v>#DIV/0!</v>
      </c>
      <c r="L37" s="315" t="e">
        <f t="shared" si="11"/>
        <v>#DIV/0!</v>
      </c>
      <c r="M37" s="315" t="e">
        <f t="shared" si="11"/>
        <v>#DIV/0!</v>
      </c>
      <c r="N37" s="315" t="e">
        <f t="shared" si="11"/>
        <v>#DIV/0!</v>
      </c>
      <c r="O37" s="315" t="e">
        <f t="shared" si="11"/>
        <v>#DIV/0!</v>
      </c>
      <c r="P37" s="315"/>
      <c r="Q37" s="315">
        <v>64865</v>
      </c>
      <c r="R37" s="315">
        <f t="shared" si="8"/>
        <v>64865</v>
      </c>
    </row>
    <row r="38" spans="1:18" s="249" customFormat="1" ht="24" customHeight="1" x14ac:dyDescent="0.2">
      <c r="A38" s="313">
        <v>8</v>
      </c>
      <c r="B38" s="586" t="s">
        <v>73</v>
      </c>
      <c r="C38" s="486"/>
      <c r="D38" s="318" t="s">
        <v>88</v>
      </c>
      <c r="E38" s="315" t="e">
        <f t="shared" si="11"/>
        <v>#DIV/0!</v>
      </c>
      <c r="F38" s="315" t="e">
        <f t="shared" si="11"/>
        <v>#DIV/0!</v>
      </c>
      <c r="G38" s="315" t="e">
        <f t="shared" si="11"/>
        <v>#DIV/0!</v>
      </c>
      <c r="H38" s="315" t="e">
        <f t="shared" si="11"/>
        <v>#DIV/0!</v>
      </c>
      <c r="I38" s="315" t="e">
        <f t="shared" si="11"/>
        <v>#DIV/0!</v>
      </c>
      <c r="J38" s="315" t="e">
        <f t="shared" si="11"/>
        <v>#DIV/0!</v>
      </c>
      <c r="K38" s="315" t="e">
        <f t="shared" si="11"/>
        <v>#DIV/0!</v>
      </c>
      <c r="L38" s="315" t="e">
        <f t="shared" si="11"/>
        <v>#DIV/0!</v>
      </c>
      <c r="M38" s="315" t="e">
        <f t="shared" si="11"/>
        <v>#DIV/0!</v>
      </c>
      <c r="N38" s="315" t="e">
        <f t="shared" si="11"/>
        <v>#DIV/0!</v>
      </c>
      <c r="O38" s="315" t="e">
        <f t="shared" si="11"/>
        <v>#DIV/0!</v>
      </c>
      <c r="P38" s="315"/>
      <c r="Q38" s="315"/>
      <c r="R38" s="315">
        <f t="shared" si="8"/>
        <v>0</v>
      </c>
    </row>
    <row r="39" spans="1:18" s="249" customFormat="1" ht="39" customHeight="1" x14ac:dyDescent="0.2">
      <c r="A39" s="313">
        <v>9</v>
      </c>
      <c r="B39" s="586" t="s">
        <v>74</v>
      </c>
      <c r="C39" s="486"/>
      <c r="D39" s="318" t="s">
        <v>88</v>
      </c>
      <c r="E39" s="315" t="e">
        <f t="shared" si="11"/>
        <v>#DIV/0!</v>
      </c>
      <c r="F39" s="315" t="e">
        <f t="shared" si="11"/>
        <v>#DIV/0!</v>
      </c>
      <c r="G39" s="315" t="e">
        <f t="shared" si="11"/>
        <v>#DIV/0!</v>
      </c>
      <c r="H39" s="315" t="e">
        <f t="shared" si="11"/>
        <v>#DIV/0!</v>
      </c>
      <c r="I39" s="315" t="e">
        <f t="shared" si="11"/>
        <v>#DIV/0!</v>
      </c>
      <c r="J39" s="315" t="e">
        <f t="shared" si="11"/>
        <v>#DIV/0!</v>
      </c>
      <c r="K39" s="315" t="e">
        <f t="shared" si="11"/>
        <v>#DIV/0!</v>
      </c>
      <c r="L39" s="315" t="e">
        <f t="shared" si="11"/>
        <v>#DIV/0!</v>
      </c>
      <c r="M39" s="315" t="e">
        <f t="shared" si="11"/>
        <v>#DIV/0!</v>
      </c>
      <c r="N39" s="315" t="e">
        <f t="shared" si="11"/>
        <v>#DIV/0!</v>
      </c>
      <c r="O39" s="315" t="e">
        <f t="shared" si="11"/>
        <v>#DIV/0!</v>
      </c>
      <c r="P39" s="315"/>
      <c r="Q39" s="315"/>
      <c r="R39" s="315">
        <f t="shared" si="8"/>
        <v>0</v>
      </c>
    </row>
    <row r="40" spans="1:18" s="249" customFormat="1" ht="27.75" customHeight="1" x14ac:dyDescent="0.2">
      <c r="A40" s="313">
        <v>10</v>
      </c>
      <c r="B40" s="586" t="s">
        <v>75</v>
      </c>
      <c r="C40" s="486"/>
      <c r="D40" s="318" t="s">
        <v>88</v>
      </c>
      <c r="E40" s="315" t="e">
        <f t="shared" si="11"/>
        <v>#DIV/0!</v>
      </c>
      <c r="F40" s="315" t="e">
        <f t="shared" si="11"/>
        <v>#DIV/0!</v>
      </c>
      <c r="G40" s="315" t="e">
        <f t="shared" si="11"/>
        <v>#DIV/0!</v>
      </c>
      <c r="H40" s="315" t="e">
        <f t="shared" si="11"/>
        <v>#DIV/0!</v>
      </c>
      <c r="I40" s="315" t="e">
        <f t="shared" si="11"/>
        <v>#DIV/0!</v>
      </c>
      <c r="J40" s="315" t="e">
        <f t="shared" si="11"/>
        <v>#DIV/0!</v>
      </c>
      <c r="K40" s="315" t="e">
        <f t="shared" si="11"/>
        <v>#DIV/0!</v>
      </c>
      <c r="L40" s="315" t="e">
        <f t="shared" si="11"/>
        <v>#DIV/0!</v>
      </c>
      <c r="M40" s="315" t="e">
        <f t="shared" si="11"/>
        <v>#DIV/0!</v>
      </c>
      <c r="N40" s="315" t="e">
        <f t="shared" si="11"/>
        <v>#DIV/0!</v>
      </c>
      <c r="O40" s="315" t="e">
        <f t="shared" si="11"/>
        <v>#DIV/0!</v>
      </c>
      <c r="P40" s="315"/>
      <c r="Q40" s="315">
        <v>7</v>
      </c>
      <c r="R40" s="315">
        <f t="shared" si="8"/>
        <v>7</v>
      </c>
    </row>
    <row r="41" spans="1:18" s="249" customFormat="1" ht="26.25" customHeight="1" x14ac:dyDescent="0.2">
      <c r="A41" s="313">
        <v>11</v>
      </c>
      <c r="B41" s="586" t="s">
        <v>76</v>
      </c>
      <c r="C41" s="486"/>
      <c r="D41" s="318" t="s">
        <v>88</v>
      </c>
      <c r="E41" s="315" t="e">
        <f t="shared" si="11"/>
        <v>#DIV/0!</v>
      </c>
      <c r="F41" s="315" t="e">
        <f t="shared" si="11"/>
        <v>#DIV/0!</v>
      </c>
      <c r="G41" s="315" t="e">
        <f t="shared" si="11"/>
        <v>#DIV/0!</v>
      </c>
      <c r="H41" s="315" t="e">
        <f t="shared" si="11"/>
        <v>#DIV/0!</v>
      </c>
      <c r="I41" s="315" t="e">
        <f t="shared" si="11"/>
        <v>#DIV/0!</v>
      </c>
      <c r="J41" s="315" t="e">
        <f t="shared" si="11"/>
        <v>#DIV/0!</v>
      </c>
      <c r="K41" s="315" t="e">
        <f t="shared" si="11"/>
        <v>#DIV/0!</v>
      </c>
      <c r="L41" s="315" t="e">
        <f t="shared" si="11"/>
        <v>#DIV/0!</v>
      </c>
      <c r="M41" s="315" t="e">
        <f t="shared" si="11"/>
        <v>#DIV/0!</v>
      </c>
      <c r="N41" s="315" t="e">
        <f t="shared" si="11"/>
        <v>#DIV/0!</v>
      </c>
      <c r="O41" s="315" t="e">
        <f t="shared" si="11"/>
        <v>#DIV/0!</v>
      </c>
      <c r="P41" s="315"/>
      <c r="Q41" s="315"/>
      <c r="R41" s="315">
        <f t="shared" si="8"/>
        <v>0</v>
      </c>
    </row>
    <row r="42" spans="1:18" s="249" customFormat="1" ht="27.75" customHeight="1" x14ac:dyDescent="0.2">
      <c r="A42" s="313">
        <v>12</v>
      </c>
      <c r="B42" s="586" t="s">
        <v>77</v>
      </c>
      <c r="C42" s="486"/>
      <c r="D42" s="318" t="s">
        <v>88</v>
      </c>
      <c r="E42" s="315" t="e">
        <f t="shared" si="11"/>
        <v>#DIV/0!</v>
      </c>
      <c r="F42" s="315" t="e">
        <f t="shared" si="11"/>
        <v>#DIV/0!</v>
      </c>
      <c r="G42" s="315" t="e">
        <f t="shared" si="11"/>
        <v>#DIV/0!</v>
      </c>
      <c r="H42" s="315" t="e">
        <f t="shared" si="11"/>
        <v>#DIV/0!</v>
      </c>
      <c r="I42" s="315" t="e">
        <f t="shared" si="11"/>
        <v>#DIV/0!</v>
      </c>
      <c r="J42" s="315" t="e">
        <f t="shared" si="11"/>
        <v>#DIV/0!</v>
      </c>
      <c r="K42" s="315" t="e">
        <f t="shared" si="11"/>
        <v>#DIV/0!</v>
      </c>
      <c r="L42" s="315" t="e">
        <f t="shared" si="11"/>
        <v>#DIV/0!</v>
      </c>
      <c r="M42" s="315" t="e">
        <f t="shared" si="11"/>
        <v>#DIV/0!</v>
      </c>
      <c r="N42" s="315" t="e">
        <f t="shared" si="11"/>
        <v>#DIV/0!</v>
      </c>
      <c r="O42" s="315" t="e">
        <f t="shared" si="11"/>
        <v>#DIV/0!</v>
      </c>
      <c r="P42" s="315"/>
      <c r="Q42" s="315">
        <v>108746</v>
      </c>
      <c r="R42" s="315">
        <f t="shared" si="8"/>
        <v>108746</v>
      </c>
    </row>
    <row r="43" spans="1:18" s="249" customFormat="1" ht="27.75" customHeight="1" x14ac:dyDescent="0.2">
      <c r="A43" s="313">
        <v>13</v>
      </c>
      <c r="B43" s="586" t="s">
        <v>78</v>
      </c>
      <c r="C43" s="486"/>
      <c r="D43" s="318" t="s">
        <v>88</v>
      </c>
      <c r="E43" s="315" t="e">
        <f t="shared" si="11"/>
        <v>#DIV/0!</v>
      </c>
      <c r="F43" s="315" t="e">
        <f t="shared" si="11"/>
        <v>#DIV/0!</v>
      </c>
      <c r="G43" s="315" t="e">
        <f t="shared" si="11"/>
        <v>#DIV/0!</v>
      </c>
      <c r="H43" s="315" t="e">
        <f t="shared" si="11"/>
        <v>#DIV/0!</v>
      </c>
      <c r="I43" s="315" t="e">
        <f t="shared" si="11"/>
        <v>#DIV/0!</v>
      </c>
      <c r="J43" s="315" t="e">
        <f t="shared" si="11"/>
        <v>#DIV/0!</v>
      </c>
      <c r="K43" s="315" t="e">
        <f t="shared" si="11"/>
        <v>#DIV/0!</v>
      </c>
      <c r="L43" s="315" t="e">
        <f t="shared" si="11"/>
        <v>#DIV/0!</v>
      </c>
      <c r="M43" s="315" t="e">
        <f t="shared" si="11"/>
        <v>#DIV/0!</v>
      </c>
      <c r="N43" s="315" t="e">
        <f t="shared" si="11"/>
        <v>#DIV/0!</v>
      </c>
      <c r="O43" s="315" t="e">
        <f t="shared" si="11"/>
        <v>#DIV/0!</v>
      </c>
      <c r="P43" s="315"/>
      <c r="Q43" s="317">
        <f>SUM(Q33-Q34-Q35+Q36-Q37+Q38+Q39+Q40-Q41-Q42)</f>
        <v>192357</v>
      </c>
      <c r="R43" s="315">
        <f t="shared" si="8"/>
        <v>192357</v>
      </c>
    </row>
    <row r="44" spans="1:18" s="249" customFormat="1" x14ac:dyDescent="0.2">
      <c r="A44" s="313">
        <v>14</v>
      </c>
      <c r="B44" s="586" t="s">
        <v>79</v>
      </c>
      <c r="C44" s="486"/>
      <c r="D44" s="318" t="s">
        <v>88</v>
      </c>
      <c r="E44" s="315" t="e">
        <f t="shared" si="11"/>
        <v>#DIV/0!</v>
      </c>
      <c r="F44" s="315" t="e">
        <f t="shared" si="11"/>
        <v>#DIV/0!</v>
      </c>
      <c r="G44" s="315" t="e">
        <f t="shared" si="11"/>
        <v>#DIV/0!</v>
      </c>
      <c r="H44" s="315" t="e">
        <f t="shared" si="11"/>
        <v>#DIV/0!</v>
      </c>
      <c r="I44" s="315" t="e">
        <f t="shared" si="11"/>
        <v>#DIV/0!</v>
      </c>
      <c r="J44" s="315" t="e">
        <f t="shared" si="11"/>
        <v>#DIV/0!</v>
      </c>
      <c r="K44" s="315" t="e">
        <f t="shared" si="11"/>
        <v>#DIV/0!</v>
      </c>
      <c r="L44" s="315" t="e">
        <f t="shared" si="11"/>
        <v>#DIV/0!</v>
      </c>
      <c r="M44" s="315" t="e">
        <f t="shared" si="11"/>
        <v>#DIV/0!</v>
      </c>
      <c r="N44" s="315" t="e">
        <f t="shared" si="11"/>
        <v>#DIV/0!</v>
      </c>
      <c r="O44" s="315" t="e">
        <f t="shared" si="11"/>
        <v>#DIV/0!</v>
      </c>
      <c r="P44" s="315"/>
      <c r="Q44" s="315"/>
      <c r="R44" s="315">
        <f t="shared" si="8"/>
        <v>0</v>
      </c>
    </row>
    <row r="45" spans="1:18" s="249" customFormat="1" x14ac:dyDescent="0.2">
      <c r="A45" s="313">
        <v>15</v>
      </c>
      <c r="B45" s="586" t="s">
        <v>80</v>
      </c>
      <c r="C45" s="486"/>
      <c r="D45" s="318" t="s">
        <v>88</v>
      </c>
      <c r="E45" s="315" t="e">
        <f t="shared" si="11"/>
        <v>#DIV/0!</v>
      </c>
      <c r="F45" s="315" t="e">
        <f t="shared" si="11"/>
        <v>#DIV/0!</v>
      </c>
      <c r="G45" s="315" t="e">
        <f t="shared" si="11"/>
        <v>#DIV/0!</v>
      </c>
      <c r="H45" s="315" t="e">
        <f t="shared" si="11"/>
        <v>#DIV/0!</v>
      </c>
      <c r="I45" s="315" t="e">
        <f t="shared" si="11"/>
        <v>#DIV/0!</v>
      </c>
      <c r="J45" s="315" t="e">
        <f t="shared" si="11"/>
        <v>#DIV/0!</v>
      </c>
      <c r="K45" s="315" t="e">
        <f t="shared" si="11"/>
        <v>#DIV/0!</v>
      </c>
      <c r="L45" s="315" t="e">
        <f t="shared" si="11"/>
        <v>#DIV/0!</v>
      </c>
      <c r="M45" s="315" t="e">
        <f t="shared" si="11"/>
        <v>#DIV/0!</v>
      </c>
      <c r="N45" s="315" t="e">
        <f t="shared" si="11"/>
        <v>#DIV/0!</v>
      </c>
      <c r="O45" s="315" t="e">
        <f t="shared" si="11"/>
        <v>#DIV/0!</v>
      </c>
      <c r="P45" s="315"/>
      <c r="Q45" s="315"/>
      <c r="R45" s="315">
        <f t="shared" si="8"/>
        <v>0</v>
      </c>
    </row>
    <row r="46" spans="1:18" s="249" customFormat="1" ht="15.75" customHeight="1" x14ac:dyDescent="0.2">
      <c r="A46" s="313">
        <v>16</v>
      </c>
      <c r="B46" s="586" t="s">
        <v>81</v>
      </c>
      <c r="C46" s="486"/>
      <c r="D46" s="318" t="s">
        <v>88</v>
      </c>
      <c r="E46" s="315" t="e">
        <f t="shared" si="11"/>
        <v>#DIV/0!</v>
      </c>
      <c r="F46" s="315" t="e">
        <f t="shared" si="11"/>
        <v>#DIV/0!</v>
      </c>
      <c r="G46" s="315" t="e">
        <f t="shared" si="11"/>
        <v>#DIV/0!</v>
      </c>
      <c r="H46" s="315" t="e">
        <f t="shared" si="11"/>
        <v>#DIV/0!</v>
      </c>
      <c r="I46" s="315" t="e">
        <f t="shared" si="11"/>
        <v>#DIV/0!</v>
      </c>
      <c r="J46" s="315" t="e">
        <f t="shared" si="11"/>
        <v>#DIV/0!</v>
      </c>
      <c r="K46" s="315" t="e">
        <f t="shared" si="11"/>
        <v>#DIV/0!</v>
      </c>
      <c r="L46" s="315" t="e">
        <f t="shared" si="11"/>
        <v>#DIV/0!</v>
      </c>
      <c r="M46" s="315" t="e">
        <f t="shared" si="11"/>
        <v>#DIV/0!</v>
      </c>
      <c r="N46" s="315" t="e">
        <f t="shared" si="11"/>
        <v>#DIV/0!</v>
      </c>
      <c r="O46" s="315" t="e">
        <f t="shared" si="11"/>
        <v>#DIV/0!</v>
      </c>
      <c r="P46" s="315"/>
      <c r="Q46" s="317">
        <f>SUM(Q43+Q44-Q45)</f>
        <v>192357</v>
      </c>
      <c r="R46" s="315">
        <f t="shared" si="8"/>
        <v>192357</v>
      </c>
    </row>
    <row r="47" spans="1:18" s="249" customFormat="1" ht="28.5" customHeight="1" x14ac:dyDescent="0.2">
      <c r="A47" s="313">
        <v>17</v>
      </c>
      <c r="B47" s="586" t="s">
        <v>82</v>
      </c>
      <c r="C47" s="486"/>
      <c r="D47" s="318" t="s">
        <v>88</v>
      </c>
      <c r="E47" s="315" t="e">
        <f>E25/D25*100-100</f>
        <v>#DIV/0!</v>
      </c>
      <c r="F47" s="315" t="e">
        <f t="shared" si="11"/>
        <v>#DIV/0!</v>
      </c>
      <c r="G47" s="315" t="e">
        <f t="shared" si="11"/>
        <v>#DIV/0!</v>
      </c>
      <c r="H47" s="315" t="e">
        <f t="shared" si="11"/>
        <v>#DIV/0!</v>
      </c>
      <c r="I47" s="315" t="e">
        <f t="shared" si="11"/>
        <v>#DIV/0!</v>
      </c>
      <c r="J47" s="315" t="e">
        <f t="shared" si="11"/>
        <v>#DIV/0!</v>
      </c>
      <c r="K47" s="315" t="e">
        <f t="shared" si="11"/>
        <v>#DIV/0!</v>
      </c>
      <c r="L47" s="315" t="e">
        <f t="shared" si="11"/>
        <v>#DIV/0!</v>
      </c>
      <c r="M47" s="315" t="e">
        <f t="shared" si="11"/>
        <v>#DIV/0!</v>
      </c>
      <c r="N47" s="315" t="e">
        <f>N25/M25*100-100</f>
        <v>#DIV/0!</v>
      </c>
      <c r="O47" s="315" t="e">
        <f t="shared" si="11"/>
        <v>#DIV/0!</v>
      </c>
      <c r="P47" s="315"/>
      <c r="Q47" s="315"/>
      <c r="R47" s="315">
        <v>3884</v>
      </c>
    </row>
    <row r="48" spans="1:18" s="249" customFormat="1" ht="14.25" customHeight="1" x14ac:dyDescent="0.2">
      <c r="A48" s="313">
        <v>18</v>
      </c>
      <c r="B48" s="586" t="s">
        <v>83</v>
      </c>
      <c r="C48" s="486"/>
      <c r="D48" s="318" t="s">
        <v>88</v>
      </c>
      <c r="E48" s="315" t="e">
        <f>E26/D26*100-100</f>
        <v>#DIV/0!</v>
      </c>
      <c r="F48" s="315" t="e">
        <f t="shared" si="11"/>
        <v>#DIV/0!</v>
      </c>
      <c r="G48" s="315" t="e">
        <f t="shared" si="11"/>
        <v>#DIV/0!</v>
      </c>
      <c r="H48" s="315" t="e">
        <f t="shared" si="11"/>
        <v>#DIV/0!</v>
      </c>
      <c r="I48" s="315" t="e">
        <f t="shared" si="11"/>
        <v>#DIV/0!</v>
      </c>
      <c r="J48" s="315" t="e">
        <f t="shared" si="11"/>
        <v>#DIV/0!</v>
      </c>
      <c r="K48" s="315" t="e">
        <f t="shared" si="11"/>
        <v>#DIV/0!</v>
      </c>
      <c r="L48" s="315" t="e">
        <f t="shared" si="11"/>
        <v>#DIV/0!</v>
      </c>
      <c r="M48" s="315" t="e">
        <f t="shared" si="11"/>
        <v>#DIV/0!</v>
      </c>
      <c r="N48" s="315" t="e">
        <f>N26/M26*100-100</f>
        <v>#DIV/0!</v>
      </c>
      <c r="O48" s="315" t="e">
        <f t="shared" si="11"/>
        <v>#DIV/0!</v>
      </c>
      <c r="P48" s="315"/>
      <c r="Q48" s="315">
        <v>14787</v>
      </c>
      <c r="R48" s="315">
        <v>7691</v>
      </c>
    </row>
    <row r="49" spans="1:18" s="249" customFormat="1" ht="24.75" customHeight="1" x14ac:dyDescent="0.2">
      <c r="A49" s="313">
        <v>19</v>
      </c>
      <c r="B49" s="586" t="s">
        <v>84</v>
      </c>
      <c r="C49" s="486"/>
      <c r="D49" s="318" t="s">
        <v>88</v>
      </c>
      <c r="E49" s="315" t="e">
        <f t="shared" ref="E49:O49" si="12">E27/D27*100-100</f>
        <v>#DIV/0!</v>
      </c>
      <c r="F49" s="315" t="e">
        <f t="shared" si="12"/>
        <v>#DIV/0!</v>
      </c>
      <c r="G49" s="315" t="e">
        <f t="shared" si="12"/>
        <v>#DIV/0!</v>
      </c>
      <c r="H49" s="315" t="e">
        <f t="shared" si="12"/>
        <v>#DIV/0!</v>
      </c>
      <c r="I49" s="315" t="e">
        <f t="shared" si="12"/>
        <v>#DIV/0!</v>
      </c>
      <c r="J49" s="315" t="e">
        <f t="shared" si="12"/>
        <v>#DIV/0!</v>
      </c>
      <c r="K49" s="315" t="e">
        <f t="shared" si="12"/>
        <v>#DIV/0!</v>
      </c>
      <c r="L49" s="315" t="e">
        <f t="shared" si="12"/>
        <v>#DIV/0!</v>
      </c>
      <c r="M49" s="315" t="e">
        <f t="shared" si="12"/>
        <v>#DIV/0!</v>
      </c>
      <c r="N49" s="315" t="e">
        <f t="shared" si="12"/>
        <v>#DIV/0!</v>
      </c>
      <c r="O49" s="315" t="e">
        <f t="shared" si="12"/>
        <v>#DIV/0!</v>
      </c>
      <c r="P49" s="315"/>
      <c r="Q49" s="317">
        <f>SUM(Q46-Q47-Q48)</f>
        <v>177570</v>
      </c>
      <c r="R49" s="317">
        <f>SUM(R46-R47-R48)</f>
        <v>180782</v>
      </c>
    </row>
  </sheetData>
  <mergeCells count="54">
    <mergeCell ref="H3:J3"/>
    <mergeCell ref="H4:J4"/>
    <mergeCell ref="C3:E3"/>
    <mergeCell ref="C4:E4"/>
    <mergeCell ref="F3:G3"/>
    <mergeCell ref="F4:G4"/>
    <mergeCell ref="H1:J1"/>
    <mergeCell ref="H2:J2"/>
    <mergeCell ref="C1:E1"/>
    <mergeCell ref="C2:E2"/>
    <mergeCell ref="F2:G2"/>
    <mergeCell ref="H6:J6"/>
    <mergeCell ref="C5:E5"/>
    <mergeCell ref="C6:E6"/>
    <mergeCell ref="F6:G6"/>
    <mergeCell ref="B16:C16"/>
    <mergeCell ref="B9:C9"/>
    <mergeCell ref="B10:C10"/>
    <mergeCell ref="B11:C11"/>
    <mergeCell ref="B12:C12"/>
    <mergeCell ref="B13:C13"/>
    <mergeCell ref="H5:J5"/>
    <mergeCell ref="B24:C24"/>
    <mergeCell ref="B17:C17"/>
    <mergeCell ref="B18:C18"/>
    <mergeCell ref="B19:C19"/>
    <mergeCell ref="B20:C20"/>
    <mergeCell ref="B14:C14"/>
    <mergeCell ref="B15:C15"/>
    <mergeCell ref="B21:C21"/>
    <mergeCell ref="B22:C22"/>
    <mergeCell ref="B23:C23"/>
    <mergeCell ref="B32:C32"/>
    <mergeCell ref="B33:C33"/>
    <mergeCell ref="B34:C34"/>
    <mergeCell ref="B35:C35"/>
    <mergeCell ref="B25:C25"/>
    <mergeCell ref="B26:C26"/>
    <mergeCell ref="B27:C27"/>
    <mergeCell ref="B31:C31"/>
    <mergeCell ref="B40:C40"/>
    <mergeCell ref="B41:C41"/>
    <mergeCell ref="B42:C42"/>
    <mergeCell ref="B43:C43"/>
    <mergeCell ref="B36:C36"/>
    <mergeCell ref="B37:C37"/>
    <mergeCell ref="B38:C38"/>
    <mergeCell ref="B39:C39"/>
    <mergeCell ref="B48:C48"/>
    <mergeCell ref="B49:C49"/>
    <mergeCell ref="B44:C44"/>
    <mergeCell ref="B45:C45"/>
    <mergeCell ref="B46:C46"/>
    <mergeCell ref="B47:C47"/>
  </mergeCells>
  <phoneticPr fontId="0" type="noConversion"/>
  <conditionalFormatting sqref="B6 B1:F5 G4:G5 H1:J5 G1:G2">
    <cfRule type="cellIs" dxfId="1" priority="1" stopIfTrue="1" operator="equal">
      <formula>0</formula>
    </cfRule>
  </conditionalFormatting>
  <printOptions horizontalCentered="1"/>
  <pageMargins left="0.27559055118110237" right="0.19685039370078741" top="0.43307086614173229" bottom="0.78740157480314965" header="0.27559055118110237" footer="0.27559055118110237"/>
  <pageSetup paperSize="9" scale="78" fitToWidth="2" fitToHeight="0" orientation="landscape" horizontalDpi="300" verticalDpi="300" r:id="rId1"/>
  <headerFooter alignWithMargins="0">
    <oddHeader xml:space="preserve">&amp;R
</oddHeader>
    <oddFooter>&amp;LIzpildīja__________________
                        &amp;8/Paraksts/&amp;CPārbaudīja________________
             &amp;8 /Paraksts/&amp;R&amp;D/&amp;T/&amp;P</oddFooter>
  </headerFooter>
  <rowBreaks count="1" manualBreakCount="1">
    <brk id="2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zoomScaleNormal="100" workbookViewId="0">
      <pane xSplit="12" ySplit="2" topLeftCell="N3" activePane="bottomRight" state="frozenSplit"/>
      <selection activeCell="A15" sqref="A15:B15"/>
      <selection pane="topRight" activeCell="A15" sqref="A15:B15"/>
      <selection pane="bottomLeft" activeCell="A15" sqref="A15:B15"/>
      <selection pane="bottomRight" activeCell="A2" sqref="A2:D2"/>
    </sheetView>
  </sheetViews>
  <sheetFormatPr defaultRowHeight="20.25" customHeight="1" x14ac:dyDescent="0.2"/>
  <cols>
    <col min="1" max="1" width="31.33203125" customWidth="1"/>
    <col min="2" max="3" width="12.33203125" customWidth="1"/>
    <col min="4" max="4" width="12.33203125" hidden="1" customWidth="1"/>
    <col min="5" max="6" width="6" customWidth="1"/>
    <col min="7" max="7" width="12.5" customWidth="1"/>
  </cols>
  <sheetData>
    <row r="1" spans="1:16" ht="13.5" thickBot="1" x14ac:dyDescent="0.25"/>
    <row r="2" spans="1:16" s="154" customFormat="1" ht="15.75" x14ac:dyDescent="0.25">
      <c r="A2" s="507" t="str">
        <f>Inform.ievad.!C3</f>
        <v>SIA"Daugavpils autobusu parks"</v>
      </c>
      <c r="B2" s="490"/>
      <c r="C2" s="490"/>
      <c r="D2" s="490"/>
      <c r="E2" s="496" t="str">
        <f>Inform.ievad.!C5</f>
        <v>2018. gads</v>
      </c>
      <c r="F2" s="496"/>
      <c r="G2" s="497"/>
      <c r="H2" s="526" t="str">
        <f>Inform.ievad.!C7</f>
        <v>Finanšu analīze</v>
      </c>
      <c r="I2" s="526"/>
      <c r="J2" s="527"/>
      <c r="K2" s="389"/>
      <c r="L2" s="242"/>
    </row>
    <row r="3" spans="1:16" s="154" customFormat="1" ht="9.75" customHeight="1" x14ac:dyDescent="0.25">
      <c r="A3" s="603" t="s">
        <v>271</v>
      </c>
      <c r="B3" s="492"/>
      <c r="C3" s="492"/>
      <c r="D3" s="492"/>
      <c r="E3" s="495" t="s">
        <v>171</v>
      </c>
      <c r="F3" s="495"/>
      <c r="G3" s="495"/>
      <c r="H3" s="495" t="s">
        <v>273</v>
      </c>
      <c r="I3" s="495"/>
      <c r="J3" s="604"/>
    </row>
    <row r="4" spans="1:16" s="154" customFormat="1" ht="17.25" customHeight="1" thickBot="1" x14ac:dyDescent="0.3">
      <c r="A4" s="493" t="s">
        <v>194</v>
      </c>
      <c r="B4" s="530"/>
      <c r="C4" s="530"/>
      <c r="D4" s="530"/>
      <c r="E4" s="530"/>
      <c r="F4" s="530"/>
      <c r="G4" s="530"/>
      <c r="H4" s="530"/>
      <c r="I4" s="530"/>
      <c r="J4" s="531"/>
    </row>
    <row r="5" spans="1:16" s="240" customFormat="1" ht="20.25" customHeight="1" x14ac:dyDescent="0.25">
      <c r="A5" s="418"/>
      <c r="B5" s="419"/>
      <c r="C5" s="243"/>
      <c r="D5" s="239"/>
      <c r="E5" s="239"/>
      <c r="F5" s="239"/>
      <c r="G5" s="239"/>
      <c r="H5" s="239"/>
      <c r="I5" s="239"/>
      <c r="J5" s="239"/>
      <c r="N5" s="154"/>
      <c r="O5" s="154"/>
    </row>
    <row r="6" spans="1:16" ht="33.75" customHeight="1" x14ac:dyDescent="0.25">
      <c r="A6" s="257" t="str">
        <f>Analīze!A7</f>
        <v>1.LIKVIDITĀTE</v>
      </c>
      <c r="B6" s="106" t="str">
        <f>Aktīvs!E6</f>
        <v>uz 31.12.2018.</v>
      </c>
      <c r="C6" s="106" t="str">
        <f>Aktīvs!F6</f>
        <v>uz 31.12.2017.</v>
      </c>
      <c r="D6" s="106" t="e">
        <f>#REF!-365</f>
        <v>#REF!</v>
      </c>
      <c r="E6" s="605"/>
      <c r="F6" s="605"/>
      <c r="G6" s="605"/>
      <c r="H6" s="605"/>
      <c r="I6" s="605"/>
      <c r="J6" s="605"/>
      <c r="N6" s="154"/>
      <c r="O6" s="154"/>
      <c r="P6" s="31"/>
    </row>
    <row r="7" spans="1:16" s="249" customFormat="1" ht="18" customHeight="1" x14ac:dyDescent="0.25">
      <c r="A7" s="250" t="str">
        <f>Analīze!A8</f>
        <v>1.1. Kārtējā likviditāte (CR)</v>
      </c>
      <c r="B7" s="386">
        <f>Analīze!B8</f>
        <v>1.1100000000000001</v>
      </c>
      <c r="C7" s="386">
        <f>Analīze!C8</f>
        <v>1.44</v>
      </c>
      <c r="D7" s="250"/>
      <c r="E7" s="599" t="s">
        <v>229</v>
      </c>
      <c r="F7" s="599"/>
      <c r="G7" s="599"/>
      <c r="H7" s="599"/>
      <c r="I7" s="599"/>
      <c r="J7" s="599"/>
      <c r="N7" s="154"/>
      <c r="O7" s="154"/>
    </row>
    <row r="8" spans="1:16" s="249" customFormat="1" ht="18" customHeight="1" x14ac:dyDescent="0.25">
      <c r="A8" s="250" t="str">
        <f>Analīze!A9</f>
        <v>1.2. Ātrā likviditāte (QR)</v>
      </c>
      <c r="B8" s="386">
        <f>Analīze!B9</f>
        <v>1</v>
      </c>
      <c r="C8" s="386">
        <f>Analīze!C9</f>
        <v>1.3</v>
      </c>
      <c r="D8" s="250"/>
      <c r="E8" s="599" t="s">
        <v>230</v>
      </c>
      <c r="F8" s="599"/>
      <c r="G8" s="599"/>
      <c r="H8" s="599"/>
      <c r="I8" s="599"/>
      <c r="J8" s="599"/>
      <c r="N8" s="154"/>
      <c r="O8" s="154"/>
    </row>
    <row r="9" spans="1:16" s="249" customFormat="1" ht="18" customHeight="1" x14ac:dyDescent="0.25">
      <c r="A9" s="250" t="str">
        <f>Analīze!A10</f>
        <v>1.3. Absolūtā likviditāte (CAR)</v>
      </c>
      <c r="B9" s="386">
        <f>Analīze!B10</f>
        <v>0.82</v>
      </c>
      <c r="C9" s="386">
        <f>Analīze!C10</f>
        <v>1.18</v>
      </c>
      <c r="D9" s="250"/>
      <c r="E9" s="599" t="s">
        <v>231</v>
      </c>
      <c r="F9" s="599"/>
      <c r="G9" s="599"/>
      <c r="H9" s="599"/>
      <c r="I9" s="599"/>
      <c r="J9" s="599"/>
      <c r="N9" s="154"/>
      <c r="O9" s="154"/>
    </row>
    <row r="10" spans="1:16" s="249" customFormat="1" ht="18" customHeight="1" x14ac:dyDescent="0.2">
      <c r="A10" s="250" t="s">
        <v>265</v>
      </c>
      <c r="B10" s="379">
        <f>Analīze!B18</f>
        <v>-92531</v>
      </c>
      <c r="C10" s="379">
        <f>Analīze!C18</f>
        <v>-329535</v>
      </c>
      <c r="D10" s="250"/>
      <c r="E10" s="599" t="s">
        <v>232</v>
      </c>
      <c r="F10" s="599"/>
      <c r="G10" s="599"/>
      <c r="H10" s="599"/>
      <c r="I10" s="599"/>
      <c r="J10" s="599"/>
    </row>
    <row r="11" spans="1:16" s="249" customFormat="1" ht="20.25" customHeight="1" x14ac:dyDescent="0.2">
      <c r="A11" s="250"/>
      <c r="B11" s="250"/>
      <c r="C11" s="250"/>
      <c r="D11" s="250"/>
      <c r="E11" s="599"/>
      <c r="F11" s="599"/>
      <c r="G11" s="599"/>
      <c r="H11" s="599"/>
      <c r="I11" s="599"/>
      <c r="J11" s="599"/>
    </row>
    <row r="12" spans="1:16" s="249" customFormat="1" ht="31.5" customHeight="1" x14ac:dyDescent="0.2">
      <c r="A12" s="256" t="str">
        <f>Analīze!A12</f>
        <v>2.SAISTĪBU RĀDĪTĀJI</v>
      </c>
      <c r="B12" s="106" t="str">
        <f>B6</f>
        <v>uz 31.12.2018.</v>
      </c>
      <c r="C12" s="106" t="str">
        <f>C6</f>
        <v>uz 31.12.2017.</v>
      </c>
      <c r="D12" s="106" t="e">
        <f>#REF!-365</f>
        <v>#REF!</v>
      </c>
      <c r="E12" s="599"/>
      <c r="F12" s="599"/>
      <c r="G12" s="599"/>
      <c r="H12" s="599"/>
      <c r="I12" s="599"/>
      <c r="J12" s="599"/>
    </row>
    <row r="13" spans="1:16" s="249" customFormat="1" ht="18.75" customHeight="1" x14ac:dyDescent="0.2">
      <c r="A13" s="250" t="str">
        <f>Analīze!A13</f>
        <v>2.1. Visu saistību rādītājs (DR)</v>
      </c>
      <c r="B13" s="385">
        <f>Analīze!B13</f>
        <v>0.51</v>
      </c>
      <c r="C13" s="385">
        <f>Analīze!C13</f>
        <v>0.49</v>
      </c>
      <c r="D13" s="250"/>
      <c r="E13" s="599" t="s">
        <v>233</v>
      </c>
      <c r="F13" s="599"/>
      <c r="G13" s="599"/>
      <c r="H13" s="599"/>
      <c r="I13" s="599"/>
      <c r="J13" s="599"/>
    </row>
    <row r="14" spans="1:16" s="249" customFormat="1" ht="27.75" customHeight="1" x14ac:dyDescent="0.2">
      <c r="A14" s="250" t="str">
        <f>Analīze!A14</f>
        <v>2.2. Saistību attiecība pret pašu kapitālu (DER)</v>
      </c>
      <c r="B14" s="385">
        <f>Analīze!B14</f>
        <v>1.06</v>
      </c>
      <c r="C14" s="385">
        <f>Analīze!C14</f>
        <v>0.95</v>
      </c>
      <c r="D14" s="250"/>
      <c r="E14" s="599" t="s">
        <v>234</v>
      </c>
      <c r="F14" s="599"/>
      <c r="G14" s="599"/>
      <c r="H14" s="599"/>
      <c r="I14" s="599"/>
      <c r="J14" s="599"/>
    </row>
    <row r="15" spans="1:16" s="249" customFormat="1" ht="39.75" customHeight="1" x14ac:dyDescent="0.2">
      <c r="A15" s="250" t="str">
        <f>Analīze!A15</f>
        <v>2.3. Peļņa pirms % un nodokļu atkaitīšanas jeb maksājamo procentu seguma koeficents</v>
      </c>
      <c r="B15" s="385">
        <f>Analīze!B15</f>
        <v>4</v>
      </c>
      <c r="C15" s="385">
        <f>Analīze!C15</f>
        <v>16.329999999999998</v>
      </c>
      <c r="D15" s="250"/>
      <c r="E15" s="600" t="s">
        <v>235</v>
      </c>
      <c r="F15" s="601"/>
      <c r="G15" s="601"/>
      <c r="H15" s="601"/>
      <c r="I15" s="601"/>
      <c r="J15" s="602"/>
    </row>
    <row r="16" spans="1:16" s="249" customFormat="1" ht="20.25" customHeight="1" x14ac:dyDescent="0.2">
      <c r="A16" s="250"/>
      <c r="B16" s="250"/>
      <c r="C16" s="250"/>
      <c r="D16" s="250"/>
      <c r="E16" s="599"/>
      <c r="F16" s="599"/>
      <c r="G16" s="599"/>
      <c r="H16" s="599"/>
      <c r="I16" s="599"/>
      <c r="J16" s="599"/>
    </row>
    <row r="17" spans="1:10" s="249" customFormat="1" ht="31.5" customHeight="1" x14ac:dyDescent="0.2">
      <c r="A17" s="217" t="str">
        <f>Analīze!A17</f>
        <v>3. BILANCES ZELTA LIKUMI</v>
      </c>
      <c r="B17" s="106" t="str">
        <f>B12</f>
        <v>uz 31.12.2018.</v>
      </c>
      <c r="C17" s="106" t="str">
        <f>C12</f>
        <v>uz 31.12.2017.</v>
      </c>
      <c r="D17" s="106" t="e">
        <f>#REF!-365</f>
        <v>#REF!</v>
      </c>
      <c r="E17" s="599"/>
      <c r="F17" s="599"/>
      <c r="G17" s="599"/>
      <c r="H17" s="599"/>
      <c r="I17" s="599"/>
      <c r="J17" s="599"/>
    </row>
    <row r="18" spans="1:10" s="249" customFormat="1" ht="31.5" customHeight="1" x14ac:dyDescent="0.2">
      <c r="A18" s="250" t="str">
        <f>Analīze!A18</f>
        <v>3.1. Apgroz.līdz. segums ar īsterm. saistībām</v>
      </c>
      <c r="B18" s="250">
        <f>Analīze!B18</f>
        <v>-92531</v>
      </c>
      <c r="C18" s="250">
        <f>Analīze!C18</f>
        <v>-329535</v>
      </c>
      <c r="D18" s="250"/>
      <c r="E18" s="599"/>
      <c r="F18" s="599"/>
      <c r="G18" s="599"/>
      <c r="H18" s="599"/>
      <c r="I18" s="599"/>
      <c r="J18" s="599"/>
    </row>
    <row r="19" spans="1:10" s="249" customFormat="1" ht="30" customHeight="1" x14ac:dyDescent="0.2">
      <c r="A19" s="250" t="str">
        <f>Analīze!A19</f>
        <v>3.2. Ilgterm.ieguld segums ar pašu kapitālu</v>
      </c>
      <c r="B19" s="250">
        <f>Analīze!B19</f>
        <v>-744181</v>
      </c>
      <c r="C19" s="250">
        <f>Analīze!C19</f>
        <v>-394495</v>
      </c>
      <c r="D19" s="250"/>
      <c r="E19" s="599"/>
      <c r="F19" s="599"/>
      <c r="G19" s="599"/>
      <c r="H19" s="599"/>
      <c r="I19" s="599"/>
      <c r="J19" s="599"/>
    </row>
    <row r="20" spans="1:10" s="249" customFormat="1" ht="45.75" customHeight="1" x14ac:dyDescent="0.2">
      <c r="A20" s="250" t="str">
        <f>Analīze!A20</f>
        <v>3.3. Ilgterm. ieguld segums ar pašu kapitālu un ilgterm. saistībām vai tīrie apgrozāmie aktīvi</v>
      </c>
      <c r="B20" s="250">
        <f>Analīze!B20</f>
        <v>92531</v>
      </c>
      <c r="C20" s="250">
        <f>Analīze!C20</f>
        <v>329535</v>
      </c>
      <c r="D20" s="250"/>
      <c r="E20" s="599"/>
      <c r="F20" s="599"/>
      <c r="G20" s="599"/>
      <c r="H20" s="599"/>
      <c r="I20" s="599"/>
      <c r="J20" s="599"/>
    </row>
    <row r="21" spans="1:10" s="249" customFormat="1" ht="20.25" customHeight="1" x14ac:dyDescent="0.2">
      <c r="A21" s="250"/>
      <c r="B21" s="250"/>
      <c r="C21" s="250"/>
      <c r="D21" s="250"/>
      <c r="E21" s="599"/>
      <c r="F21" s="599"/>
      <c r="G21" s="599"/>
      <c r="H21" s="599"/>
      <c r="I21" s="599"/>
      <c r="J21" s="599"/>
    </row>
    <row r="22" spans="1:10" s="249" customFormat="1" ht="32.25" customHeight="1" x14ac:dyDescent="0.2">
      <c r="A22" s="217" t="str">
        <f>Analīze!A22</f>
        <v>4. LIETIŠĶĀ AKTIVITĀTE</v>
      </c>
      <c r="B22" s="106" t="str">
        <f>B17</f>
        <v>uz 31.12.2018.</v>
      </c>
      <c r="C22" s="106" t="str">
        <f>C17</f>
        <v>uz 31.12.2017.</v>
      </c>
      <c r="D22" s="106" t="e">
        <f>#REF!-365</f>
        <v>#REF!</v>
      </c>
      <c r="E22" s="599"/>
      <c r="F22" s="599"/>
      <c r="G22" s="599"/>
      <c r="H22" s="599"/>
      <c r="I22" s="599"/>
      <c r="J22" s="599"/>
    </row>
    <row r="23" spans="1:10" s="249" customFormat="1" ht="17.25" customHeight="1" x14ac:dyDescent="0.2">
      <c r="A23" s="250" t="str">
        <f>Analīze!A23</f>
        <v>4.1. Visu aktīvu aprite (TAT)</v>
      </c>
      <c r="B23" s="381">
        <f>Analīze!B23</f>
        <v>0.61</v>
      </c>
      <c r="C23" s="381">
        <f>Analīze!C23</f>
        <v>0.66</v>
      </c>
      <c r="D23" s="250"/>
      <c r="E23" s="599" t="s">
        <v>236</v>
      </c>
      <c r="F23" s="599"/>
      <c r="G23" s="599"/>
      <c r="H23" s="599"/>
      <c r="I23" s="599"/>
      <c r="J23" s="599"/>
    </row>
    <row r="24" spans="1:10" s="249" customFormat="1" ht="17.25" customHeight="1" x14ac:dyDescent="0.2">
      <c r="A24" s="250" t="str">
        <f>Analīze!A24</f>
        <v>4.2. Ilgtermiņa ieguldījumu aprite</v>
      </c>
      <c r="B24" s="381">
        <f>Analīze!B24</f>
        <v>0.85</v>
      </c>
      <c r="C24" s="381">
        <f>Analīze!C24</f>
        <v>1.02</v>
      </c>
      <c r="D24" s="250"/>
      <c r="E24" s="599" t="s">
        <v>237</v>
      </c>
      <c r="F24" s="599"/>
      <c r="G24" s="599"/>
      <c r="H24" s="599"/>
      <c r="I24" s="599"/>
      <c r="J24" s="599"/>
    </row>
    <row r="25" spans="1:10" s="249" customFormat="1" ht="16.5" customHeight="1" x14ac:dyDescent="0.2">
      <c r="A25" s="254" t="str">
        <f>Analīze!A25</f>
        <v>4.3.  Krājumu aprite koeficents (IT)</v>
      </c>
      <c r="B25" s="381">
        <f>Analīze!B25</f>
        <v>44.42</v>
      </c>
      <c r="C25" s="381">
        <f>Analīze!C25</f>
        <v>84.75</v>
      </c>
      <c r="D25" s="254"/>
      <c r="E25" s="597" t="s">
        <v>238</v>
      </c>
      <c r="F25" s="597"/>
      <c r="G25" s="597"/>
      <c r="H25" s="597"/>
      <c r="I25" s="597"/>
      <c r="J25" s="597"/>
    </row>
    <row r="26" spans="1:10" s="249" customFormat="1" ht="13.5" customHeight="1" x14ac:dyDescent="0.2">
      <c r="A26" s="255" t="str">
        <f>Analīze!A26</f>
        <v>dienas</v>
      </c>
      <c r="B26" s="381">
        <f>Analīze!B26</f>
        <v>8.2200000000000006</v>
      </c>
      <c r="C26" s="381">
        <f>Analīze!C26</f>
        <v>4.3099999999999996</v>
      </c>
      <c r="D26" s="357"/>
      <c r="E26" s="598"/>
      <c r="F26" s="598"/>
      <c r="G26" s="598"/>
      <c r="H26" s="598"/>
      <c r="I26" s="598"/>
      <c r="J26" s="598"/>
    </row>
    <row r="27" spans="1:10" s="249" customFormat="1" ht="31.5" customHeight="1" x14ac:dyDescent="0.2">
      <c r="A27" s="254" t="str">
        <f>Analīze!A28</f>
        <v>4.4.Debitoru parādu aprites  koeficents (ART)</v>
      </c>
      <c r="B27" s="381">
        <f>Analīze!B27</f>
        <v>97371</v>
      </c>
      <c r="C27" s="381">
        <f>Analīze!C27</f>
        <v>47146</v>
      </c>
      <c r="D27" s="254"/>
      <c r="E27" s="597" t="s">
        <v>242</v>
      </c>
      <c r="F27" s="597"/>
      <c r="G27" s="597"/>
      <c r="H27" s="597"/>
      <c r="I27" s="597"/>
      <c r="J27" s="597"/>
    </row>
    <row r="28" spans="1:10" s="249" customFormat="1" ht="30" customHeight="1" x14ac:dyDescent="0.2">
      <c r="A28" s="254" t="str">
        <f>Analīze!A29</f>
        <v>4.5. Vidējais prasību samaksas laiks (ACPR)</v>
      </c>
      <c r="B28" s="381">
        <f>Analīze!B28</f>
        <v>26.27</v>
      </c>
      <c r="C28" s="381">
        <f>Analīze!C28</f>
        <v>38.93</v>
      </c>
      <c r="D28" s="358"/>
      <c r="E28" s="598" t="s">
        <v>241</v>
      </c>
      <c r="F28" s="598"/>
      <c r="G28" s="598"/>
      <c r="H28" s="598"/>
      <c r="I28" s="598"/>
      <c r="J28" s="598"/>
    </row>
    <row r="29" spans="1:10" s="249" customFormat="1" ht="12.75" x14ac:dyDescent="0.2">
      <c r="A29" s="254" t="str">
        <f>Analīze!A31</f>
        <v xml:space="preserve">4.6.Kreditoru parādu aprite                   </v>
      </c>
      <c r="B29" s="382">
        <f>Analīze!B31</f>
        <v>5.35</v>
      </c>
      <c r="C29" s="382">
        <f>Analīze!C31</f>
        <v>9.26</v>
      </c>
      <c r="D29" s="254"/>
      <c r="E29" s="597"/>
      <c r="F29" s="597"/>
      <c r="G29" s="597"/>
      <c r="H29" s="597"/>
      <c r="I29" s="597"/>
      <c r="J29" s="597"/>
    </row>
    <row r="30" spans="1:10" s="249" customFormat="1" ht="12.75" x14ac:dyDescent="0.2">
      <c r="A30" s="357" t="str">
        <f>Analīze!A32</f>
        <v xml:space="preserve">                                            dienas</v>
      </c>
      <c r="B30" s="383">
        <f>Analīze!B32</f>
        <v>68</v>
      </c>
      <c r="C30" s="383">
        <f>Analīze!C32</f>
        <v>39</v>
      </c>
      <c r="D30" s="357"/>
      <c r="E30" s="598"/>
      <c r="F30" s="598"/>
      <c r="G30" s="598"/>
      <c r="H30" s="598"/>
      <c r="I30" s="598"/>
      <c r="J30" s="598"/>
    </row>
    <row r="31" spans="1:10" s="249" customFormat="1" ht="20.25" customHeight="1" x14ac:dyDescent="0.2">
      <c r="A31" s="250"/>
      <c r="B31" s="250"/>
      <c r="C31" s="250"/>
      <c r="D31" s="250"/>
      <c r="E31" s="599"/>
      <c r="F31" s="599"/>
      <c r="G31" s="599"/>
      <c r="H31" s="599"/>
      <c r="I31" s="599"/>
      <c r="J31" s="599"/>
    </row>
    <row r="32" spans="1:10" s="249" customFormat="1" ht="27.75" customHeight="1" x14ac:dyDescent="0.2">
      <c r="A32" s="217" t="str">
        <f>Analīze!A39</f>
        <v>5.RENTABILITĀTE (%)</v>
      </c>
      <c r="B32" s="106" t="str">
        <f>B22</f>
        <v>uz 31.12.2018.</v>
      </c>
      <c r="C32" s="106" t="str">
        <f>C22</f>
        <v>uz 31.12.2017.</v>
      </c>
      <c r="D32" s="106" t="e">
        <f>#REF!-365</f>
        <v>#REF!</v>
      </c>
      <c r="E32" s="599"/>
      <c r="F32" s="599"/>
      <c r="G32" s="599"/>
      <c r="H32" s="599"/>
      <c r="I32" s="599"/>
      <c r="J32" s="599"/>
    </row>
    <row r="33" spans="1:10" s="249" customFormat="1" ht="14.25" customHeight="1" x14ac:dyDescent="0.2">
      <c r="A33" s="254" t="str">
        <f>Analīze!A40</f>
        <v>5.1. Komerciālā rentabilitāte (RGP)</v>
      </c>
      <c r="B33" s="304"/>
      <c r="C33" s="254"/>
      <c r="D33" s="254"/>
      <c r="E33" s="597"/>
      <c r="F33" s="597"/>
      <c r="G33" s="597"/>
      <c r="H33" s="597"/>
      <c r="I33" s="597"/>
      <c r="J33" s="597"/>
    </row>
    <row r="34" spans="1:10" s="249" customFormat="1" ht="14.25" customHeight="1" x14ac:dyDescent="0.2">
      <c r="A34" s="255" t="str">
        <f>Analīze!A41</f>
        <v>Bruto peļņas rentabilitāte</v>
      </c>
      <c r="B34" s="383">
        <f>Analīze!B41</f>
        <v>-116.6</v>
      </c>
      <c r="C34" s="383">
        <f>Analīze!C41</f>
        <v>-100.29</v>
      </c>
      <c r="D34" s="357"/>
      <c r="E34" s="598" t="s">
        <v>228</v>
      </c>
      <c r="F34" s="598"/>
      <c r="G34" s="598"/>
      <c r="H34" s="598"/>
      <c r="I34" s="598"/>
      <c r="J34" s="598"/>
    </row>
    <row r="35" spans="1:10" s="249" customFormat="1" ht="14.25" customHeight="1" x14ac:dyDescent="0.2">
      <c r="A35" s="303" t="str">
        <f>Analīze!A42</f>
        <v>5.2. Realizācijas rentabilitāte (ROS)</v>
      </c>
      <c r="B35" s="384">
        <f>Analīze!B42</f>
        <v>1.98</v>
      </c>
      <c r="C35" s="384">
        <f>Analīze!C42</f>
        <v>11.68</v>
      </c>
      <c r="D35" s="250"/>
      <c r="E35" s="599" t="s">
        <v>320</v>
      </c>
      <c r="F35" s="599"/>
      <c r="G35" s="599"/>
      <c r="H35" s="599"/>
      <c r="I35" s="599"/>
      <c r="J35" s="599"/>
    </row>
    <row r="36" spans="1:10" s="249" customFormat="1" ht="14.25" customHeight="1" x14ac:dyDescent="0.2">
      <c r="A36" s="303" t="str">
        <f>Analīze!A43</f>
        <v>5.3. Ekonomiskā rentabilitāte (ROA)</v>
      </c>
      <c r="B36" s="384">
        <f>Analīze!B43</f>
        <v>1.66</v>
      </c>
      <c r="C36" s="384">
        <f>Analīze!C43</f>
        <v>16.97</v>
      </c>
      <c r="D36" s="250"/>
      <c r="E36" s="599" t="s">
        <v>226</v>
      </c>
      <c r="F36" s="599"/>
      <c r="G36" s="599"/>
      <c r="H36" s="599"/>
      <c r="I36" s="599"/>
      <c r="J36" s="599"/>
    </row>
    <row r="37" spans="1:10" s="249" customFormat="1" ht="14.25" customHeight="1" x14ac:dyDescent="0.2">
      <c r="A37" s="380" t="str">
        <f>Analīze!A45</f>
        <v>5.4. Finansiālā rentabilitāte (ROE)</v>
      </c>
      <c r="B37" s="382"/>
      <c r="C37" s="382"/>
      <c r="D37" s="254"/>
      <c r="E37" s="597"/>
      <c r="F37" s="597"/>
      <c r="G37" s="597"/>
      <c r="H37" s="597"/>
      <c r="I37" s="597"/>
      <c r="J37" s="597"/>
    </row>
    <row r="38" spans="1:10" s="249" customFormat="1" ht="15" customHeight="1" x14ac:dyDescent="0.2">
      <c r="A38" s="255" t="str">
        <f>Analīze!A48</f>
        <v>Pašu kapitāla rentabilitāte</v>
      </c>
      <c r="B38" s="383">
        <f>Analīze!B48</f>
        <v>2.4700000000000002</v>
      </c>
      <c r="C38" s="383">
        <f>Analīze!C48</f>
        <v>14.92</v>
      </c>
      <c r="D38" s="357"/>
      <c r="E38" s="598" t="s">
        <v>227</v>
      </c>
      <c r="F38" s="598"/>
      <c r="G38" s="598"/>
      <c r="H38" s="598"/>
      <c r="I38" s="598"/>
      <c r="J38" s="598"/>
    </row>
    <row r="39" spans="1:10" s="249" customFormat="1" ht="20.25" customHeight="1" x14ac:dyDescent="0.2"/>
    <row r="40" spans="1:10" s="249" customFormat="1" ht="20.25" customHeight="1" x14ac:dyDescent="0.2"/>
    <row r="41" spans="1:10" s="249" customFormat="1" ht="20.25" customHeight="1" x14ac:dyDescent="0.2"/>
    <row r="42" spans="1:10" s="249" customFormat="1" ht="20.25" customHeight="1" x14ac:dyDescent="0.2"/>
    <row r="43" spans="1:10" s="249" customFormat="1" ht="20.25" customHeight="1" x14ac:dyDescent="0.2">
      <c r="A43" s="107"/>
    </row>
    <row r="44" spans="1:10" s="249" customFormat="1" ht="20.25" customHeight="1" x14ac:dyDescent="0.2"/>
    <row r="45" spans="1:10" s="249" customFormat="1" ht="20.25" customHeight="1" x14ac:dyDescent="0.2"/>
    <row r="46" spans="1:10" s="249" customFormat="1" ht="20.25" customHeight="1" x14ac:dyDescent="0.2"/>
    <row r="47" spans="1:10" s="249" customFormat="1" ht="20.25" customHeight="1" x14ac:dyDescent="0.2"/>
    <row r="48" spans="1:10" s="249" customFormat="1" ht="20.25" customHeight="1" x14ac:dyDescent="0.2"/>
    <row r="49" spans="1:3" s="249" customFormat="1" ht="20.25" customHeight="1" x14ac:dyDescent="0.2"/>
    <row r="50" spans="1:3" s="249" customFormat="1" ht="20.25" customHeight="1" x14ac:dyDescent="0.2"/>
    <row r="51" spans="1:3" s="249" customFormat="1" ht="20.25" customHeight="1" x14ac:dyDescent="0.2"/>
    <row r="52" spans="1:3" s="249" customFormat="1" ht="20.25" customHeight="1" x14ac:dyDescent="0.2"/>
    <row r="53" spans="1:3" s="73" customFormat="1" ht="20.25" customHeight="1" x14ac:dyDescent="0.2">
      <c r="A53" s="249"/>
      <c r="B53" s="249"/>
      <c r="C53" s="249"/>
    </row>
    <row r="54" spans="1:3" s="73" customFormat="1" ht="20.25" customHeight="1" x14ac:dyDescent="0.2">
      <c r="A54" s="249"/>
      <c r="B54" s="249"/>
      <c r="C54" s="249"/>
    </row>
    <row r="55" spans="1:3" s="73" customFormat="1" ht="20.25" customHeight="1" x14ac:dyDescent="0.2"/>
    <row r="56" spans="1:3" s="73" customFormat="1" ht="20.25" customHeight="1" x14ac:dyDescent="0.2"/>
    <row r="57" spans="1:3" s="73" customFormat="1" ht="20.25" customHeight="1" x14ac:dyDescent="0.2"/>
    <row r="58" spans="1:3" s="73" customFormat="1" ht="20.25" customHeight="1" x14ac:dyDescent="0.2"/>
    <row r="59" spans="1:3" s="73" customFormat="1" ht="20.25" customHeight="1" x14ac:dyDescent="0.2"/>
    <row r="60" spans="1:3" s="73" customFormat="1" ht="20.25" customHeight="1" x14ac:dyDescent="0.2"/>
    <row r="61" spans="1:3" s="73" customFormat="1" ht="20.25" customHeight="1" x14ac:dyDescent="0.2"/>
    <row r="62" spans="1:3" s="73" customFormat="1" ht="20.25" customHeight="1" x14ac:dyDescent="0.2"/>
    <row r="63" spans="1:3" s="73" customFormat="1" ht="20.25" customHeight="1" x14ac:dyDescent="0.2"/>
    <row r="64" spans="1:3" s="73" customFormat="1" ht="20.25" customHeight="1" x14ac:dyDescent="0.2"/>
  </sheetData>
  <mergeCells count="40">
    <mergeCell ref="E14:J14"/>
    <mergeCell ref="A2:D2"/>
    <mergeCell ref="A3:D3"/>
    <mergeCell ref="A4:J4"/>
    <mergeCell ref="E10:J10"/>
    <mergeCell ref="H2:J2"/>
    <mergeCell ref="E3:G3"/>
    <mergeCell ref="H3:J3"/>
    <mergeCell ref="E2:G2"/>
    <mergeCell ref="E6:J6"/>
    <mergeCell ref="E7:J7"/>
    <mergeCell ref="E8:J8"/>
    <mergeCell ref="E9:J9"/>
    <mergeCell ref="E11:J11"/>
    <mergeCell ref="E12:J12"/>
    <mergeCell ref="E13:J13"/>
    <mergeCell ref="E15:J15"/>
    <mergeCell ref="E16:J16"/>
    <mergeCell ref="E23:J23"/>
    <mergeCell ref="E24:J24"/>
    <mergeCell ref="E17:J17"/>
    <mergeCell ref="E18:J18"/>
    <mergeCell ref="E19:J19"/>
    <mergeCell ref="E20:J20"/>
    <mergeCell ref="E21:J21"/>
    <mergeCell ref="E22:J22"/>
    <mergeCell ref="E29:J29"/>
    <mergeCell ref="E30:J30"/>
    <mergeCell ref="E31:J31"/>
    <mergeCell ref="E32:J32"/>
    <mergeCell ref="E25:J25"/>
    <mergeCell ref="E26:J26"/>
    <mergeCell ref="E27:J27"/>
    <mergeCell ref="E28:J28"/>
    <mergeCell ref="E37:J37"/>
    <mergeCell ref="E38:J38"/>
    <mergeCell ref="E33:J33"/>
    <mergeCell ref="E34:J34"/>
    <mergeCell ref="E35:J35"/>
    <mergeCell ref="E36:J36"/>
  </mergeCells>
  <phoneticPr fontId="0" type="noConversion"/>
  <conditionalFormatting sqref="E2:E3 F3:G3 B12 H2:J3 B6:C6 B17:C17 B22:C22 B32:C32">
    <cfRule type="cellIs" dxfId="0" priority="1" stopIfTrue="1" operator="equal">
      <formula>0</formula>
    </cfRule>
  </conditionalFormatting>
  <printOptions horizontalCentered="1"/>
  <pageMargins left="0.51" right="0.19685039370078741" top="0.69" bottom="1.04" header="0.42" footer="0.43"/>
  <pageSetup paperSize="9" fitToWidth="0" fitToHeight="3" orientation="landscape" horizontalDpi="300" verticalDpi="300" r:id="rId1"/>
  <headerFooter alignWithMargins="0">
    <oddHeader xml:space="preserve">&amp;R
</oddHeader>
    <oddFooter>&amp;LIzpildīja__________________
                        &amp;8/Paraksts/&amp;CPārbaudīja________________
             &amp;8 /Paraksts/&amp;R&amp;D/&amp;T/&amp;P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zoomScaleNormal="100" workbookViewId="0">
      <pane xSplit="7" ySplit="1" topLeftCell="H2" activePane="bottomRight" state="frozenSplit"/>
      <selection activeCell="A15" sqref="A15:B15"/>
      <selection pane="topRight" activeCell="A15" sqref="A15:B15"/>
      <selection pane="bottomLeft" activeCell="A15" sqref="A15:B15"/>
      <selection pane="bottomRight" activeCell="B2" sqref="B2"/>
    </sheetView>
  </sheetViews>
  <sheetFormatPr defaultRowHeight="19.5" customHeight="1" x14ac:dyDescent="0.2"/>
  <cols>
    <col min="1" max="1" width="6.83203125" customWidth="1"/>
    <col min="2" max="2" width="91.6640625" customWidth="1"/>
  </cols>
  <sheetData>
    <row r="1" spans="1:3" ht="19.5" customHeight="1" x14ac:dyDescent="0.3">
      <c r="B1" s="359"/>
      <c r="C1" s="389"/>
    </row>
    <row r="2" spans="1:3" ht="19.5" customHeight="1" thickBot="1" x14ac:dyDescent="0.25">
      <c r="A2" s="47"/>
      <c r="B2" s="49" t="s">
        <v>97</v>
      </c>
    </row>
    <row r="3" spans="1:3" ht="19.5" customHeight="1" thickBot="1" x14ac:dyDescent="0.25">
      <c r="A3" s="48"/>
      <c r="B3" s="83" t="s">
        <v>60</v>
      </c>
    </row>
    <row r="4" spans="1:3" s="73" customFormat="1" ht="109.5" customHeight="1" x14ac:dyDescent="0.2">
      <c r="A4" s="72" t="s">
        <v>135</v>
      </c>
      <c r="B4" s="82" t="s">
        <v>157</v>
      </c>
    </row>
    <row r="5" spans="1:3" s="73" customFormat="1" ht="92.25" customHeight="1" x14ac:dyDescent="0.2">
      <c r="A5" s="74" t="s">
        <v>136</v>
      </c>
      <c r="B5" s="81" t="s">
        <v>132</v>
      </c>
    </row>
    <row r="6" spans="1:3" s="73" customFormat="1" ht="56.25" customHeight="1" x14ac:dyDescent="0.2">
      <c r="A6" s="74" t="s">
        <v>137</v>
      </c>
      <c r="B6" s="81" t="s">
        <v>162</v>
      </c>
    </row>
    <row r="7" spans="1:3" s="73" customFormat="1" ht="57.75" customHeight="1" x14ac:dyDescent="0.2">
      <c r="A7" s="74" t="s">
        <v>138</v>
      </c>
      <c r="B7" s="81" t="s">
        <v>161</v>
      </c>
    </row>
    <row r="8" spans="1:3" s="73" customFormat="1" ht="19.5" customHeight="1" x14ac:dyDescent="0.2">
      <c r="A8" s="75"/>
      <c r="B8" s="40"/>
    </row>
    <row r="9" spans="1:3" s="73" customFormat="1" ht="19.5" customHeight="1" thickBot="1" x14ac:dyDescent="0.25">
      <c r="B9" s="76"/>
    </row>
    <row r="10" spans="1:3" s="73" customFormat="1" ht="19.5" customHeight="1" thickBot="1" x14ac:dyDescent="0.25">
      <c r="A10" s="86"/>
      <c r="B10" s="83" t="s">
        <v>61</v>
      </c>
    </row>
    <row r="11" spans="1:3" s="73" customFormat="1" ht="102" customHeight="1" x14ac:dyDescent="0.2">
      <c r="A11" s="56" t="s">
        <v>139</v>
      </c>
      <c r="B11" s="87" t="s">
        <v>130</v>
      </c>
    </row>
    <row r="12" spans="1:3" s="73" customFormat="1" ht="98.25" customHeight="1" x14ac:dyDescent="0.2">
      <c r="A12" s="43" t="s">
        <v>140</v>
      </c>
      <c r="B12" s="80" t="s">
        <v>131</v>
      </c>
    </row>
    <row r="13" spans="1:3" s="73" customFormat="1" ht="60.75" customHeight="1" x14ac:dyDescent="0.2">
      <c r="A13" s="43" t="s">
        <v>141</v>
      </c>
      <c r="B13" s="80" t="s">
        <v>163</v>
      </c>
    </row>
    <row r="14" spans="1:3" s="73" customFormat="1" ht="19.5" customHeight="1" thickBot="1" x14ac:dyDescent="0.25">
      <c r="B14" s="76"/>
    </row>
    <row r="15" spans="1:3" s="73" customFormat="1" ht="19.5" customHeight="1" thickBot="1" x14ac:dyDescent="0.25">
      <c r="A15" s="86"/>
      <c r="B15" s="83" t="s">
        <v>62</v>
      </c>
    </row>
    <row r="16" spans="1:3" s="73" customFormat="1" ht="21" customHeight="1" x14ac:dyDescent="0.2">
      <c r="A16" s="56" t="s">
        <v>142</v>
      </c>
      <c r="B16" s="87" t="s">
        <v>129</v>
      </c>
    </row>
    <row r="17" spans="1:2" s="73" customFormat="1" ht="39.75" customHeight="1" x14ac:dyDescent="0.2">
      <c r="A17" s="43" t="s">
        <v>143</v>
      </c>
      <c r="B17" s="85" t="s">
        <v>158</v>
      </c>
    </row>
    <row r="18" spans="1:2" s="73" customFormat="1" ht="40.5" customHeight="1" x14ac:dyDescent="0.2">
      <c r="A18" s="43" t="s">
        <v>144</v>
      </c>
      <c r="B18" s="85" t="s">
        <v>159</v>
      </c>
    </row>
    <row r="19" spans="1:2" s="73" customFormat="1" ht="19.5" customHeight="1" x14ac:dyDescent="0.2">
      <c r="B19" s="41"/>
    </row>
    <row r="20" spans="1:2" s="73" customFormat="1" ht="19.5" customHeight="1" thickBot="1" x14ac:dyDescent="0.25">
      <c r="B20" s="76"/>
    </row>
    <row r="21" spans="1:2" s="73" customFormat="1" ht="19.5" customHeight="1" thickBot="1" x14ac:dyDescent="0.25">
      <c r="A21" s="84"/>
      <c r="B21" s="50" t="s">
        <v>63</v>
      </c>
    </row>
    <row r="22" spans="1:2" s="73" customFormat="1" ht="85.5" customHeight="1" x14ac:dyDescent="0.2">
      <c r="A22" s="42" t="s">
        <v>145</v>
      </c>
      <c r="B22" s="98" t="s">
        <v>127</v>
      </c>
    </row>
    <row r="23" spans="1:2" s="73" customFormat="1" ht="27.75" customHeight="1" x14ac:dyDescent="0.2">
      <c r="A23" s="56"/>
      <c r="B23" s="89" t="s">
        <v>133</v>
      </c>
    </row>
    <row r="24" spans="1:2" s="73" customFormat="1" ht="42" customHeight="1" x14ac:dyDescent="0.2">
      <c r="A24" s="77" t="s">
        <v>146</v>
      </c>
      <c r="B24" s="80" t="s">
        <v>156</v>
      </c>
    </row>
    <row r="25" spans="1:2" s="73" customFormat="1" ht="61.5" customHeight="1" x14ac:dyDescent="0.2">
      <c r="A25" s="53" t="s">
        <v>147</v>
      </c>
      <c r="B25" s="91" t="s">
        <v>128</v>
      </c>
    </row>
    <row r="26" spans="1:2" s="73" customFormat="1" ht="49.5" customHeight="1" x14ac:dyDescent="0.2">
      <c r="A26" s="42"/>
      <c r="B26" s="92" t="s">
        <v>94</v>
      </c>
    </row>
    <row r="27" spans="1:2" s="73" customFormat="1" ht="19.5" customHeight="1" x14ac:dyDescent="0.2">
      <c r="A27" s="56"/>
      <c r="B27" s="93" t="s">
        <v>89</v>
      </c>
    </row>
    <row r="28" spans="1:2" s="73" customFormat="1" ht="33" customHeight="1" x14ac:dyDescent="0.2">
      <c r="A28" s="42" t="s">
        <v>148</v>
      </c>
      <c r="B28" s="91" t="s">
        <v>154</v>
      </c>
    </row>
    <row r="29" spans="1:2" s="73" customFormat="1" ht="33" customHeight="1" x14ac:dyDescent="0.2">
      <c r="A29" s="42"/>
      <c r="B29" s="94" t="s">
        <v>122</v>
      </c>
    </row>
    <row r="30" spans="1:2" s="73" customFormat="1" ht="19.5" customHeight="1" x14ac:dyDescent="0.2">
      <c r="A30" s="42"/>
      <c r="B30" s="93" t="s">
        <v>93</v>
      </c>
    </row>
    <row r="31" spans="1:2" s="73" customFormat="1" ht="30.75" customHeight="1" x14ac:dyDescent="0.2">
      <c r="A31" s="53" t="s">
        <v>149</v>
      </c>
      <c r="B31" s="95" t="s">
        <v>160</v>
      </c>
    </row>
    <row r="32" spans="1:2" s="73" customFormat="1" ht="30.75" customHeight="1" x14ac:dyDescent="0.2">
      <c r="A32" s="42"/>
      <c r="B32" s="96" t="s">
        <v>123</v>
      </c>
    </row>
    <row r="33" spans="1:2" s="73" customFormat="1" ht="19.5" customHeight="1" x14ac:dyDescent="0.2">
      <c r="A33" s="56"/>
      <c r="B33" s="93" t="s">
        <v>95</v>
      </c>
    </row>
    <row r="34" spans="1:2" s="73" customFormat="1" ht="19.5" customHeight="1" x14ac:dyDescent="0.2">
      <c r="A34" s="78"/>
      <c r="B34" s="90" t="s">
        <v>124</v>
      </c>
    </row>
    <row r="35" spans="1:2" s="73" customFormat="1" ht="19.5" customHeight="1" x14ac:dyDescent="0.2">
      <c r="A35" s="77"/>
      <c r="B35" s="90" t="s">
        <v>125</v>
      </c>
    </row>
    <row r="36" spans="1:2" s="73" customFormat="1" ht="43.5" customHeight="1" x14ac:dyDescent="0.2">
      <c r="A36" s="53"/>
      <c r="B36" s="88" t="s">
        <v>126</v>
      </c>
    </row>
    <row r="37" spans="1:2" s="73" customFormat="1" ht="19.5" customHeight="1" x14ac:dyDescent="0.2">
      <c r="A37" s="79"/>
      <c r="B37" s="97" t="s">
        <v>99</v>
      </c>
    </row>
    <row r="38" spans="1:2" s="73" customFormat="1" ht="19.5" customHeight="1" thickBot="1" x14ac:dyDescent="0.25">
      <c r="B38" s="76"/>
    </row>
    <row r="39" spans="1:2" s="73" customFormat="1" ht="19.5" customHeight="1" thickBot="1" x14ac:dyDescent="0.25">
      <c r="A39" s="84"/>
      <c r="B39" s="50" t="s">
        <v>86</v>
      </c>
    </row>
    <row r="40" spans="1:2" s="73" customFormat="1" ht="19.5" customHeight="1" x14ac:dyDescent="0.2">
      <c r="A40" s="42" t="s">
        <v>150</v>
      </c>
      <c r="B40" s="105" t="s">
        <v>101</v>
      </c>
    </row>
    <row r="41" spans="1:2" s="73" customFormat="1" ht="19.5" customHeight="1" x14ac:dyDescent="0.2">
      <c r="A41" s="42"/>
      <c r="B41" s="100" t="s">
        <v>118</v>
      </c>
    </row>
    <row r="42" spans="1:2" s="73" customFormat="1" ht="19.5" customHeight="1" x14ac:dyDescent="0.2">
      <c r="A42" s="42"/>
      <c r="B42" s="100" t="s">
        <v>321</v>
      </c>
    </row>
    <row r="43" spans="1:2" s="73" customFormat="1" ht="19.5" customHeight="1" x14ac:dyDescent="0.2">
      <c r="A43" s="56"/>
      <c r="B43" s="100" t="s">
        <v>319</v>
      </c>
    </row>
    <row r="44" spans="1:2" s="73" customFormat="1" ht="19.5" customHeight="1" x14ac:dyDescent="0.2">
      <c r="A44" s="42" t="s">
        <v>151</v>
      </c>
      <c r="B44" s="99" t="s">
        <v>102</v>
      </c>
    </row>
    <row r="45" spans="1:2" s="73" customFormat="1" ht="19.5" customHeight="1" x14ac:dyDescent="0.2">
      <c r="A45" s="201" t="s">
        <v>167</v>
      </c>
      <c r="B45" s="100" t="s">
        <v>119</v>
      </c>
    </row>
    <row r="46" spans="1:2" s="73" customFormat="1" ht="19.5" customHeight="1" x14ac:dyDescent="0.2">
      <c r="A46" s="201" t="s">
        <v>168</v>
      </c>
      <c r="B46" s="101" t="s">
        <v>134</v>
      </c>
    </row>
    <row r="47" spans="1:2" s="73" customFormat="1" ht="19.5" customHeight="1" x14ac:dyDescent="0.2">
      <c r="A47" s="79"/>
      <c r="B47" s="93" t="s">
        <v>111</v>
      </c>
    </row>
    <row r="48" spans="1:2" s="73" customFormat="1" ht="19.5" customHeight="1" x14ac:dyDescent="0.2">
      <c r="A48" s="42" t="s">
        <v>152</v>
      </c>
      <c r="B48" s="99" t="s">
        <v>104</v>
      </c>
    </row>
    <row r="49" spans="1:2" s="73" customFormat="1" ht="19.5" customHeight="1" x14ac:dyDescent="0.2">
      <c r="B49" s="101" t="s">
        <v>120</v>
      </c>
    </row>
    <row r="50" spans="1:2" s="73" customFormat="1" ht="19.5" customHeight="1" x14ac:dyDescent="0.2">
      <c r="A50" s="201"/>
      <c r="B50" s="93" t="s">
        <v>111</v>
      </c>
    </row>
    <row r="51" spans="1:2" s="73" customFormat="1" ht="43.5" customHeight="1" x14ac:dyDescent="0.2">
      <c r="B51" s="94" t="s">
        <v>121</v>
      </c>
    </row>
    <row r="52" spans="1:2" s="73" customFormat="1" ht="19.5" customHeight="1" x14ac:dyDescent="0.2">
      <c r="A52" s="56"/>
      <c r="B52" s="93" t="s">
        <v>155</v>
      </c>
    </row>
    <row r="53" spans="1:2" s="73" customFormat="1" ht="19.5" customHeight="1" x14ac:dyDescent="0.2">
      <c r="A53" s="102"/>
      <c r="B53" s="606" t="s">
        <v>117</v>
      </c>
    </row>
    <row r="54" spans="1:2" s="73" customFormat="1" ht="19.5" customHeight="1" x14ac:dyDescent="0.2">
      <c r="A54" s="102"/>
      <c r="B54" s="607"/>
    </row>
    <row r="55" spans="1:2" ht="19.5" customHeight="1" x14ac:dyDescent="0.2">
      <c r="A55" s="103"/>
      <c r="B55" s="104" t="s">
        <v>116</v>
      </c>
    </row>
    <row r="56" spans="1:2" ht="19.5" customHeight="1" x14ac:dyDescent="0.2">
      <c r="B56" s="27"/>
    </row>
  </sheetData>
  <mergeCells count="1">
    <mergeCell ref="B53:B54"/>
  </mergeCells>
  <phoneticPr fontId="0" type="noConversion"/>
  <pageMargins left="0.75" right="0.33" top="0.82" bottom="0.62" header="0.5" footer="0.45"/>
  <pageSetup paperSize="9" fitToWidth="3" fitToHeight="3" orientation="portrait" horizontalDpi="300" verticalDpi="300" r:id="rId1"/>
  <headerFooter alignWithMargins="0"/>
  <rowBreaks count="2" manualBreakCount="2">
    <brk id="14" max="16383" man="1"/>
    <brk id="3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19</vt:i4>
      </vt:variant>
    </vt:vector>
  </HeadingPairs>
  <TitlesOfParts>
    <vt:vector size="27" baseType="lpstr">
      <vt:lpstr>Inform.ievad.</vt:lpstr>
      <vt:lpstr>PZA</vt:lpstr>
      <vt:lpstr>Aktīvs</vt:lpstr>
      <vt:lpstr>Pasīvs</vt:lpstr>
      <vt:lpstr>Analīze</vt:lpstr>
      <vt:lpstr>C0_7.4.</vt:lpstr>
      <vt:lpstr>Kopsavilkums</vt:lpstr>
      <vt:lpstr>Skaidrojumi</vt:lpstr>
      <vt:lpstr>C_0_7.2.Pas</vt:lpstr>
      <vt:lpstr>C_0_7.3.koef</vt:lpstr>
      <vt:lpstr>C_0_7.4.</vt:lpstr>
      <vt:lpstr>Informācijas_ievadīšana</vt:lpstr>
      <vt:lpstr>O4_2.</vt:lpstr>
      <vt:lpstr>Aktīvs!Заголовки_для_печати</vt:lpstr>
      <vt:lpstr>Analīze!Заголовки_для_печати</vt:lpstr>
      <vt:lpstr>C0_7.4.!Заголовки_для_печати</vt:lpstr>
      <vt:lpstr>Kopsavilkums!Заголовки_для_печати</vt:lpstr>
      <vt:lpstr>Pasīvs!Заголовки_для_печати</vt:lpstr>
      <vt:lpstr>PZA!Заголовки_для_печати</vt:lpstr>
      <vt:lpstr>Skaidrojumi!Заголовки_для_печати</vt:lpstr>
      <vt:lpstr>Aktīvs!Область_печати</vt:lpstr>
      <vt:lpstr>Analīze!Область_печати</vt:lpstr>
      <vt:lpstr>Inform.ievad.!Область_печати</vt:lpstr>
      <vt:lpstr>Kopsavilkums!Область_печати</vt:lpstr>
      <vt:lpstr>Pasīvs!Область_печати</vt:lpstr>
      <vt:lpstr>PZA!Область_печати</vt:lpstr>
      <vt:lpstr>Skaidrojumi!Область_печати</vt:lpstr>
    </vt:vector>
  </TitlesOfParts>
  <Company>Invest Rīga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04/2; C0/5; C0/7</dc:title>
  <dc:subject/>
  <dc:creator>SS</dc:creator>
  <dc:description>Bilances un PZA dati, bilances analīze, analītiskais pārskats un būtiskuma plānošana. Posteņu titullapas.</dc:description>
  <cp:lastModifiedBy>Sergejs</cp:lastModifiedBy>
  <cp:lastPrinted>2017-05-25T11:58:53Z</cp:lastPrinted>
  <dcterms:created xsi:type="dcterms:W3CDTF">2000-02-23T08:10:51Z</dcterms:created>
  <dcterms:modified xsi:type="dcterms:W3CDTF">2019-02-04T12:20:22Z</dcterms:modified>
</cp:coreProperties>
</file>